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29040" windowHeight="15720" activeTab="0"/>
  </bookViews>
  <sheets>
    <sheet name="Calculation" sheetId="1" r:id="rId1"/>
    <sheet name="LPP" sheetId="2" state="hidden" r:id="rId2"/>
  </sheets>
  <definedNames>
    <definedName name="_xlnm.Print_Area" localSheetId="0">'Calculation'!$A$1:$H$60</definedName>
  </definedNames>
  <calcPr fullCalcOnLoad="1"/>
</workbook>
</file>

<file path=xl/comments2.xml><?xml version="1.0" encoding="utf-8"?>
<comments xmlns="http://schemas.openxmlformats.org/spreadsheetml/2006/main">
  <authors>
    <author>Mabboux Fabrice</author>
  </authors>
  <commentList>
    <comment ref="A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Limite de recherche dans le tableau. La denière colonne n'est là que pour facilité l'introduction d'une nouvelle année.</t>
        </r>
      </text>
    </comment>
    <comment ref="Z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B3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Art. 8 al.1 LPP
Salaire maximal assuré dans la prévoyance prof. obligatoire</t>
        </r>
      </text>
    </comment>
    <comment ref="N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C8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Cette colonne sert au pointeur de colonne (D-O) pour la recherche verticale. Il doit être implémenté +1.</t>
        </r>
      </text>
    </comment>
    <comment ref="O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P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Q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R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S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T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U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V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W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X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  <comment ref="Y1" authorId="0">
      <text>
        <r>
          <rPr>
            <b/>
            <sz val="10"/>
            <rFont val="Tahoma"/>
            <family val="2"/>
          </rPr>
          <t>Mabboux Fabrice:</t>
        </r>
        <r>
          <rPr>
            <sz val="10"/>
            <rFont val="Tahoma"/>
            <family val="2"/>
          </rPr>
          <t xml:space="preserve">
NE JAMAIS UTILISER CETTE COLONNE !
Procéder par insertion</t>
        </r>
      </text>
    </comment>
  </commentList>
</comments>
</file>

<file path=xl/sharedStrings.xml><?xml version="1.0" encoding="utf-8"?>
<sst xmlns="http://schemas.openxmlformats.org/spreadsheetml/2006/main" count="16" uniqueCount="16">
  <si>
    <t>Bonification</t>
  </si>
  <si>
    <t>Taux de bonitication</t>
  </si>
  <si>
    <t>Année de naissance</t>
  </si>
  <si>
    <t>Etat au 31 décembre de l'année</t>
  </si>
  <si>
    <t>Début processus</t>
  </si>
  <si>
    <t>Index pour colonne</t>
  </si>
  <si>
    <t>1.210 - 1.220
1.310 - 1.420</t>
  </si>
  <si>
    <t>3.320 - 3.330</t>
  </si>
  <si>
    <t>3.340 - 3.343</t>
  </si>
  <si>
    <t>4.313 - 4.315</t>
  </si>
  <si>
    <t>Codes</t>
  </si>
  <si>
    <t>Langue / Sprache</t>
  </si>
  <si>
    <t>Plafond max revenu moyen *10</t>
  </si>
  <si>
    <t>Attention aux remarques</t>
  </si>
  <si>
    <t>—</t>
  </si>
  <si>
    <t>1.10</t>
  </si>
</sst>
</file>

<file path=xl/styles.xml><?xml version="1.0" encoding="utf-8"?>
<styleSheet xmlns="http://schemas.openxmlformats.org/spreadsheetml/2006/main">
  <numFmts count="1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 * #,##0.00_ ;_ * \-#,##0.00_ ;_ * &quot;-&quot;??_ ;_ @_ "/>
    <numFmt numFmtId="165" formatCode="###&quot;.&quot;###&quot;.&quot;###&quot;/&quot;##"/>
    <numFmt numFmtId="166" formatCode="_ * #,##0_ ;_ * \-#,##0_ ;_ * &quot;-&quot;??_ ;_ @_ "/>
    <numFmt numFmtId="167" formatCode="#,##0.000"/>
    <numFmt numFmtId="168" formatCode="[Red]\-#,##0\ "/>
    <numFmt numFmtId="169" formatCode="#,##0_ ;[Red]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u val="single"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6639B7"/>
      </top>
      <bottom style="thin">
        <color rgb="FF6639B7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rgb="FF6639B7"/>
      </top>
      <bottom style="thin">
        <color rgb="FF6639B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rgb="FFFFFFFF"/>
      </left>
      <right style="thick">
        <color rgb="FFFFFFFF"/>
      </right>
      <top style="medium">
        <color rgb="FF6639B7"/>
      </top>
      <bottom style="thin">
        <color rgb="FF6639B7"/>
      </bottom>
    </border>
    <border>
      <left style="thick">
        <color rgb="FFFFFFFF"/>
      </left>
      <right style="thick">
        <color rgb="FFFFFFFF"/>
      </right>
      <top style="thin">
        <color rgb="FF6639B7"/>
      </top>
      <bottom style="thin">
        <color rgb="FF6639B7"/>
      </bottom>
    </border>
    <border>
      <left style="thick">
        <color rgb="FFFFFFFF"/>
      </left>
      <right style="thick">
        <color rgb="FFFFFFFF"/>
      </right>
      <top>
        <color indexed="63"/>
      </top>
      <bottom>
        <color indexed="63"/>
      </bottom>
    </border>
    <border>
      <left style="thick">
        <color rgb="FFFFFFFF"/>
      </left>
      <right style="thick">
        <color rgb="FFFFFFFF"/>
      </right>
      <top/>
      <bottom style="thin"/>
    </border>
    <border>
      <left style="thick">
        <color rgb="FFFFFFFF"/>
      </left>
      <right style="thick">
        <color rgb="FFFFFFFF"/>
      </right>
      <top>
        <color indexed="63"/>
      </top>
      <bottom style="hair"/>
    </border>
    <border>
      <left style="thick">
        <color rgb="FFFFFFFF"/>
      </left>
      <right style="thick">
        <color rgb="FFFFFFFF"/>
      </right>
      <top style="hair"/>
      <bottom style="hair"/>
    </border>
    <border>
      <left style="thick">
        <color rgb="FFFFFFFF"/>
      </left>
      <right style="thick">
        <color rgb="FFFFFFFF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rgb="FF6639B7"/>
      </top>
      <bottom>
        <color indexed="63"/>
      </bottom>
    </border>
    <border>
      <left style="thick">
        <color rgb="FFFFFFFF"/>
      </left>
      <right style="thick">
        <color rgb="FFFFFFFF"/>
      </right>
      <top style="thin">
        <color rgb="FF6639B7"/>
      </top>
      <bottom>
        <color indexed="63"/>
      </bottom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n">
        <color rgb="FFFFFFFF"/>
      </left>
      <right>
        <color indexed="63"/>
      </right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6" fontId="53" fillId="0" borderId="0" xfId="44" applyNumberFormat="1" applyFont="1" applyFill="1" applyAlignment="1">
      <alignment/>
    </xf>
    <xf numFmtId="0" fontId="53" fillId="0" borderId="0" xfId="0" applyFont="1" applyAlignment="1">
      <alignment vertical="center"/>
    </xf>
    <xf numFmtId="38" fontId="4" fillId="0" borderId="0" xfId="44" applyNumberFormat="1" applyFont="1" applyFill="1" applyBorder="1" applyAlignment="1">
      <alignment vertical="center"/>
    </xf>
    <xf numFmtId="166" fontId="53" fillId="0" borderId="0" xfId="44" applyNumberFormat="1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horizontal="right" vertical="center"/>
      <protection locked="0"/>
    </xf>
    <xf numFmtId="166" fontId="53" fillId="0" borderId="0" xfId="44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66" fontId="0" fillId="0" borderId="0" xfId="0" applyNumberFormat="1" applyAlignment="1">
      <alignment/>
    </xf>
    <xf numFmtId="168" fontId="53" fillId="0" borderId="0" xfId="44" applyNumberFormat="1" applyFont="1" applyFill="1" applyBorder="1" applyAlignment="1" applyProtection="1">
      <alignment vertical="center"/>
      <protection/>
    </xf>
    <xf numFmtId="166" fontId="53" fillId="0" borderId="0" xfId="44" applyNumberFormat="1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166" fontId="53" fillId="0" borderId="11" xfId="44" applyNumberFormat="1" applyFont="1" applyFill="1" applyBorder="1" applyAlignment="1">
      <alignment horizontal="center" vertical="center"/>
    </xf>
    <xf numFmtId="3" fontId="53" fillId="0" borderId="11" xfId="44" applyNumberFormat="1" applyFont="1" applyFill="1" applyBorder="1" applyAlignment="1">
      <alignment horizontal="center" vertical="center"/>
    </xf>
    <xf numFmtId="166" fontId="53" fillId="0" borderId="0" xfId="44" applyNumberFormat="1" applyFont="1" applyFill="1" applyBorder="1" applyAlignment="1">
      <alignment horizontal="center" vertical="center"/>
    </xf>
    <xf numFmtId="166" fontId="53" fillId="0" borderId="0" xfId="44" applyNumberFormat="1" applyFont="1" applyFill="1" applyBorder="1" applyAlignment="1">
      <alignment/>
    </xf>
    <xf numFmtId="0" fontId="56" fillId="0" borderId="0" xfId="0" applyFont="1" applyAlignment="1">
      <alignment/>
    </xf>
    <xf numFmtId="166" fontId="56" fillId="0" borderId="0" xfId="44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6" fontId="53" fillId="0" borderId="0" xfId="44" applyNumberFormat="1" applyFont="1" applyFill="1" applyBorder="1" applyAlignment="1">
      <alignment horizontal="center"/>
    </xf>
    <xf numFmtId="166" fontId="4" fillId="0" borderId="0" xfId="44" applyNumberFormat="1" applyFont="1" applyFill="1" applyBorder="1" applyAlignment="1">
      <alignment horizontal="center"/>
    </xf>
    <xf numFmtId="166" fontId="53" fillId="0" borderId="0" xfId="0" applyNumberFormat="1" applyFont="1" applyAlignment="1">
      <alignment horizontal="right" vertical="center"/>
    </xf>
    <xf numFmtId="166" fontId="53" fillId="0" borderId="0" xfId="44" applyNumberFormat="1" applyFont="1" applyFill="1" applyBorder="1" applyAlignment="1">
      <alignment horizontal="right" vertical="center"/>
    </xf>
    <xf numFmtId="166" fontId="53" fillId="0" borderId="12" xfId="0" applyNumberFormat="1" applyFont="1" applyBorder="1" applyAlignment="1">
      <alignment horizontal="right" vertical="center"/>
    </xf>
    <xf numFmtId="166" fontId="53" fillId="0" borderId="0" xfId="0" applyNumberFormat="1" applyFont="1" applyAlignment="1">
      <alignment/>
    </xf>
    <xf numFmtId="0" fontId="58" fillId="0" borderId="0" xfId="0" applyFont="1" applyAlignment="1">
      <alignment vertical="center" wrapText="1"/>
    </xf>
    <xf numFmtId="0" fontId="53" fillId="0" borderId="0" xfId="0" applyFont="1" applyAlignment="1" quotePrefix="1">
      <alignment/>
    </xf>
    <xf numFmtId="168" fontId="53" fillId="0" borderId="0" xfId="44" applyNumberFormat="1" applyFont="1" applyFill="1" applyBorder="1" applyAlignment="1" applyProtection="1">
      <alignment horizontal="right" vertical="center"/>
      <protection locked="0"/>
    </xf>
    <xf numFmtId="168" fontId="53" fillId="0" borderId="12" xfId="44" applyNumberFormat="1" applyFont="1" applyFill="1" applyBorder="1" applyAlignment="1" applyProtection="1">
      <alignment horizontal="right" vertical="center"/>
      <protection locked="0"/>
    </xf>
    <xf numFmtId="169" fontId="5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3" fillId="0" borderId="12" xfId="0" applyFont="1" applyBorder="1" applyAlignment="1">
      <alignment/>
    </xf>
    <xf numFmtId="169" fontId="53" fillId="0" borderId="12" xfId="0" applyNumberFormat="1" applyFont="1" applyBorder="1" applyAlignment="1">
      <alignment horizontal="right" vertical="center"/>
    </xf>
    <xf numFmtId="166" fontId="55" fillId="0" borderId="0" xfId="0" applyNumberFormat="1" applyFont="1" applyAlignment="1">
      <alignment vertical="center"/>
    </xf>
    <xf numFmtId="0" fontId="59" fillId="0" borderId="0" xfId="0" applyFont="1" applyAlignment="1" quotePrefix="1">
      <alignment/>
    </xf>
    <xf numFmtId="169" fontId="59" fillId="0" borderId="0" xfId="0" applyNumberFormat="1" applyFont="1" applyAlignment="1">
      <alignment horizontal="left" vertical="center"/>
    </xf>
    <xf numFmtId="0" fontId="60" fillId="0" borderId="0" xfId="0" applyFont="1" applyAlignment="1">
      <alignment/>
    </xf>
    <xf numFmtId="0" fontId="53" fillId="0" borderId="13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167" fontId="60" fillId="0" borderId="20" xfId="0" applyNumberFormat="1" applyFont="1" applyBorder="1" applyAlignment="1">
      <alignment horizontal="center" vertical="center" wrapText="1"/>
    </xf>
    <xf numFmtId="167" fontId="60" fillId="0" borderId="19" xfId="0" applyNumberFormat="1" applyFont="1" applyBorder="1" applyAlignment="1">
      <alignment horizontal="center" vertical="center" wrapText="1"/>
    </xf>
    <xf numFmtId="167" fontId="60" fillId="0" borderId="21" xfId="0" applyNumberFormat="1" applyFont="1" applyBorder="1" applyAlignment="1">
      <alignment horizontal="center" vertical="center" wrapText="1"/>
    </xf>
    <xf numFmtId="167" fontId="60" fillId="0" borderId="22" xfId="0" applyNumberFormat="1" applyFont="1" applyBorder="1" applyAlignment="1">
      <alignment horizontal="center" vertical="center" wrapText="1"/>
    </xf>
    <xf numFmtId="167" fontId="60" fillId="0" borderId="22" xfId="0" applyNumberFormat="1" applyFont="1" applyBorder="1" applyAlignment="1">
      <alignment horizontal="center" vertical="center"/>
    </xf>
    <xf numFmtId="167" fontId="60" fillId="0" borderId="23" xfId="0" applyNumberFormat="1" applyFont="1" applyBorder="1" applyAlignment="1">
      <alignment horizontal="center" vertical="center" wrapText="1"/>
    </xf>
    <xf numFmtId="167" fontId="60" fillId="0" borderId="20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/>
    </xf>
    <xf numFmtId="166" fontId="53" fillId="0" borderId="12" xfId="44" applyNumberFormat="1" applyFont="1" applyFill="1" applyBorder="1" applyAlignment="1" applyProtection="1">
      <alignment vertical="center"/>
      <protection locked="0"/>
    </xf>
    <xf numFmtId="166" fontId="53" fillId="0" borderId="14" xfId="44" applyNumberFormat="1" applyFont="1" applyFill="1" applyBorder="1" applyAlignment="1" applyProtection="1">
      <alignment vertical="center"/>
      <protection locked="0"/>
    </xf>
    <xf numFmtId="166" fontId="53" fillId="0" borderId="15" xfId="44" applyNumberFormat="1" applyFont="1" applyFill="1" applyBorder="1" applyAlignment="1" applyProtection="1">
      <alignment vertical="center"/>
      <protection locked="0"/>
    </xf>
    <xf numFmtId="168" fontId="53" fillId="0" borderId="15" xfId="44" applyNumberFormat="1" applyFont="1" applyFill="1" applyBorder="1" applyAlignment="1" applyProtection="1">
      <alignment vertical="center"/>
      <protection locked="0"/>
    </xf>
    <xf numFmtId="168" fontId="53" fillId="0" borderId="16" xfId="44" applyNumberFormat="1" applyFont="1" applyFill="1" applyBorder="1" applyAlignment="1" applyProtection="1">
      <alignment vertical="center"/>
      <protection locked="0"/>
    </xf>
    <xf numFmtId="166" fontId="53" fillId="0" borderId="12" xfId="44" applyNumberFormat="1" applyFont="1" applyFill="1" applyBorder="1" applyAlignment="1">
      <alignment vertical="center"/>
    </xf>
    <xf numFmtId="166" fontId="53" fillId="0" borderId="11" xfId="44" applyNumberFormat="1" applyFont="1" applyFill="1" applyBorder="1" applyAlignment="1">
      <alignment vertical="center"/>
    </xf>
    <xf numFmtId="0" fontId="53" fillId="0" borderId="25" xfId="0" applyFont="1" applyBorder="1" applyAlignment="1">
      <alignment horizontal="center"/>
    </xf>
    <xf numFmtId="166" fontId="53" fillId="0" borderId="20" xfId="44" applyNumberFormat="1" applyFont="1" applyFill="1" applyBorder="1" applyAlignment="1" applyProtection="1">
      <alignment vertical="center"/>
      <protection locked="0"/>
    </xf>
    <xf numFmtId="166" fontId="53" fillId="0" borderId="19" xfId="44" applyNumberFormat="1" applyFont="1" applyFill="1" applyBorder="1" applyAlignment="1" applyProtection="1">
      <alignment vertical="center"/>
      <protection/>
    </xf>
    <xf numFmtId="166" fontId="53" fillId="0" borderId="21" xfId="44" applyNumberFormat="1" applyFont="1" applyFill="1" applyBorder="1" applyAlignment="1" applyProtection="1">
      <alignment vertical="center"/>
      <protection locked="0"/>
    </xf>
    <xf numFmtId="166" fontId="53" fillId="0" borderId="22" xfId="44" applyNumberFormat="1" applyFont="1" applyFill="1" applyBorder="1" applyAlignment="1" applyProtection="1">
      <alignment vertical="center"/>
      <protection locked="0"/>
    </xf>
    <xf numFmtId="168" fontId="53" fillId="0" borderId="22" xfId="44" applyNumberFormat="1" applyFont="1" applyFill="1" applyBorder="1" applyAlignment="1" applyProtection="1">
      <alignment vertical="center"/>
      <protection locked="0"/>
    </xf>
    <xf numFmtId="168" fontId="53" fillId="0" borderId="23" xfId="44" applyNumberFormat="1" applyFont="1" applyFill="1" applyBorder="1" applyAlignment="1" applyProtection="1">
      <alignment vertical="center"/>
      <protection locked="0"/>
    </xf>
    <xf numFmtId="166" fontId="53" fillId="0" borderId="20" xfId="44" applyNumberFormat="1" applyFont="1" applyFill="1" applyBorder="1" applyAlignment="1">
      <alignment vertical="center"/>
    </xf>
    <xf numFmtId="166" fontId="53" fillId="0" borderId="26" xfId="44" applyNumberFormat="1" applyFont="1" applyFill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8" fontId="5" fillId="0" borderId="0" xfId="44" applyNumberFormat="1" applyFont="1" applyFill="1" applyBorder="1" applyAlignment="1">
      <alignment horizontal="center" vertical="center"/>
    </xf>
    <xf numFmtId="166" fontId="53" fillId="0" borderId="0" xfId="0" applyNumberFormat="1" applyFont="1" applyAlignment="1">
      <alignment horizontal="right" vertical="center"/>
    </xf>
    <xf numFmtId="0" fontId="5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6" fontId="55" fillId="0" borderId="28" xfId="0" applyNumberFormat="1" applyFont="1" applyBorder="1" applyAlignment="1">
      <alignment vertical="center"/>
    </xf>
    <xf numFmtId="0" fontId="59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61" fillId="0" borderId="0" xfId="0" applyFont="1" applyAlignment="1">
      <alignment vertical="top" wrapText="1"/>
    </xf>
    <xf numFmtId="165" fontId="53" fillId="0" borderId="0" xfId="0" applyNumberFormat="1" applyFont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53" fillId="0" borderId="0" xfId="0" applyFont="1" applyAlignment="1" quotePrefix="1">
      <alignment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G60"/>
  <sheetViews>
    <sheetView showGridLines="0" showRowColHeaders="0" showZeros="0" tabSelected="1" zoomScalePageLayoutView="115" workbookViewId="0" topLeftCell="A1">
      <selection activeCell="B6" sqref="B6:E6"/>
    </sheetView>
  </sheetViews>
  <sheetFormatPr defaultColWidth="48.28125" defaultRowHeight="15"/>
  <cols>
    <col min="1" max="1" width="57.28125" style="0" customWidth="1"/>
    <col min="2" max="2" width="15.00390625" style="0" customWidth="1"/>
    <col min="3" max="7" width="13.421875" style="0" customWidth="1"/>
    <col min="8" max="8" width="3.140625" style="0" customWidth="1"/>
    <col min="9" max="9" width="3.8515625" style="0" customWidth="1"/>
    <col min="10" max="255" width="11.421875" style="0" customWidth="1"/>
  </cols>
  <sheetData>
    <row r="1" spans="1:12" ht="20.25" customHeight="1">
      <c r="A1" s="106" t="str">
        <f>IF(K1=2,"Ermittlung der fiktiven Einkaufssumme","Détermination du rachat fictif de prévoyance")</f>
        <v>Détermination du rachat fictif de prévoyance</v>
      </c>
      <c r="B1" s="106"/>
      <c r="C1" s="106"/>
      <c r="D1" s="106"/>
      <c r="E1" s="106"/>
      <c r="F1" s="106"/>
      <c r="G1" s="106"/>
      <c r="H1" s="6"/>
      <c r="I1" s="7">
        <f>+LPP!A1-1</f>
        <v>2023</v>
      </c>
      <c r="J1" s="8" t="s">
        <v>15</v>
      </c>
      <c r="K1" s="9">
        <v>1</v>
      </c>
      <c r="L1" s="7">
        <f>LOOKUP(E9,LPP!D8:Z8,LPP!D3:Z3)</f>
        <v>882000</v>
      </c>
    </row>
    <row r="2" spans="1:12" ht="20.25" customHeight="1">
      <c r="A2" s="10" t="s">
        <v>14</v>
      </c>
      <c r="B2" s="11"/>
      <c r="C2" s="11"/>
      <c r="D2" s="11"/>
      <c r="E2" s="11"/>
      <c r="F2" s="11"/>
      <c r="G2" s="11"/>
      <c r="H2" s="6"/>
      <c r="I2" s="7"/>
      <c r="J2" s="8"/>
      <c r="K2" s="9"/>
      <c r="L2" s="7"/>
    </row>
    <row r="3" spans="1:10" ht="28.5" customHeight="1">
      <c r="A3" s="12" t="str">
        <f>IF(K1=2,"(Kreisschreiben Nr. 28 ESTV vom 3. November 2010)","(Circulaire no 28 AFC du 3 novembre 2010)")</f>
        <v>(Circulaire no 28 AFC du 3 novembre 2010)</v>
      </c>
      <c r="B3" s="12"/>
      <c r="C3" s="12"/>
      <c r="D3" s="12"/>
      <c r="E3" s="12"/>
      <c r="F3" s="12"/>
      <c r="G3" s="12"/>
      <c r="H3" s="6"/>
      <c r="I3" s="7"/>
      <c r="J3" s="8"/>
    </row>
    <row r="4" spans="1:8" ht="15.75">
      <c r="A4" s="13" t="str">
        <f>IF(K1=2,"Allgemeine Angaben","Données générales")</f>
        <v>Données générales</v>
      </c>
      <c r="B4" s="14"/>
      <c r="C4" s="15"/>
      <c r="D4" s="15"/>
      <c r="E4" s="15"/>
      <c r="F4" s="14"/>
      <c r="G4" s="14"/>
      <c r="H4" s="14"/>
    </row>
    <row r="5" spans="1:8" ht="15">
      <c r="A5" s="14"/>
      <c r="B5" s="14"/>
      <c r="C5" s="15"/>
      <c r="D5" s="15"/>
      <c r="E5" s="15"/>
      <c r="F5" s="14"/>
      <c r="G5" s="14"/>
      <c r="H5" s="14"/>
    </row>
    <row r="6" spans="1:13" ht="19.5" customHeight="1">
      <c r="A6" s="16" t="str">
        <f>IF(K1=2,"Stpfl.Nr.","NDC du contribuable")</f>
        <v>NDC du contribuable</v>
      </c>
      <c r="B6" s="103"/>
      <c r="C6" s="103"/>
      <c r="D6" s="103"/>
      <c r="E6" s="103"/>
      <c r="F6" s="14"/>
      <c r="G6" s="14" t="str">
        <f>IF(K1=2,"Mann","Homme")</f>
        <v>Homme</v>
      </c>
      <c r="H6" s="14"/>
      <c r="J6" s="95" t="s">
        <v>11</v>
      </c>
      <c r="K6" s="95"/>
      <c r="L6" s="17"/>
      <c r="M6" s="17"/>
    </row>
    <row r="7" spans="1:10" ht="19.5" customHeight="1">
      <c r="A7" s="16" t="str">
        <f>IF(K1=2,"Stpfl. Name","Nom du contribuable")</f>
        <v>Nom du contribuable</v>
      </c>
      <c r="B7" s="104"/>
      <c r="C7" s="104"/>
      <c r="D7" s="104"/>
      <c r="E7" s="104"/>
      <c r="F7" s="14"/>
      <c r="G7" s="14" t="str">
        <f>IF(K1=2,"Frau","Femme")</f>
        <v>Femme</v>
      </c>
      <c r="H7" s="14"/>
      <c r="I7" s="7">
        <f>+LPP!B1</f>
        <v>1</v>
      </c>
      <c r="J7" s="7">
        <f>IF(I7=1,70,69)</f>
        <v>70</v>
      </c>
    </row>
    <row r="8" spans="1:8" ht="19.5" customHeight="1">
      <c r="A8" s="16" t="str">
        <f>IF(K1=2,"Geburtsjahr","Année de naissance")</f>
        <v>Année de naissance</v>
      </c>
      <c r="B8" s="16"/>
      <c r="C8" s="18"/>
      <c r="D8" s="18"/>
      <c r="E8" s="19">
        <v>1958</v>
      </c>
      <c r="F8" s="14"/>
      <c r="G8" s="14"/>
      <c r="H8" s="14"/>
    </row>
    <row r="9" spans="1:8" ht="19.5" customHeight="1">
      <c r="A9" s="16" t="str">
        <f>IF(K1=2,"Jahr der Geschäftsaufgabe","Année de la cessation d'activité")</f>
        <v>Année de la cessation d'activité</v>
      </c>
      <c r="B9" s="16"/>
      <c r="C9" s="18"/>
      <c r="D9" s="18"/>
      <c r="E9" s="19">
        <v>2023</v>
      </c>
      <c r="F9" s="14"/>
      <c r="G9" s="14"/>
      <c r="H9" s="14"/>
    </row>
    <row r="10" spans="1:8" ht="19.5" customHeight="1">
      <c r="A10" s="16" t="str">
        <f>IF(K1=2,"Alter im Zeitpunkt der Geschäftsaufgabe","Age au moment de la cessation d'activité")</f>
        <v>Age au moment de la cessation d'activité</v>
      </c>
      <c r="B10" s="16"/>
      <c r="C10" s="20"/>
      <c r="D10" s="20"/>
      <c r="E10" s="21">
        <f>E9-E8</f>
        <v>65</v>
      </c>
      <c r="F10" s="22"/>
      <c r="G10" s="14"/>
      <c r="H10" s="14"/>
    </row>
    <row r="11" spans="1:8" ht="15">
      <c r="A11" s="105">
        <f>IF(K1=2,IF(I1&lt;E9,"DIE BERECHNUNG FÜR DAS JAHR DER GESCHÄFTSAUFGABE IST NICHT MÖGLICH!",""),IF(I1&lt;E9,"LE CALCUL POUR L'ANNEE DE CESSATION D'ACTIVITE N'EST PAS POSSIBLE !",""))</f>
      </c>
      <c r="B11" s="105"/>
      <c r="C11" s="105"/>
      <c r="D11" s="105"/>
      <c r="E11" s="105"/>
      <c r="F11" s="105"/>
      <c r="G11" s="105"/>
      <c r="H11" s="23"/>
    </row>
    <row r="12" spans="1:8" ht="18.75" customHeight="1">
      <c r="A12" s="111">
        <f>IF(K1=2,IF(E10&lt;55,"BESTEUERUNG LIQUIDATIONSGEWINN NICHT MÖGLICH – ALTER "&amp;E10,IF(E10&gt;J7,"FIKTIVER EINKAUF NICHT MÖGLICH – ALTER "&amp;E10,"")),IF(E10&lt;55,"PAS DE BENEFICE DE LIQUIDATION POSSIBLE - AGE "&amp;E10,IF(E10&gt;J7,"PAS DE RACHAT FICTIF POSSIBLE - AGE "&amp;E10,"")))</f>
      </c>
      <c r="B12" s="111"/>
      <c r="C12" s="111"/>
      <c r="D12" s="111"/>
      <c r="E12" s="111"/>
      <c r="F12" s="111"/>
      <c r="G12" s="111"/>
      <c r="H12" s="24"/>
    </row>
    <row r="13" spans="1:8" ht="15">
      <c r="A13" s="105">
        <f>IF(K1=2,IF(I1&lt;E9,"DIE DATEI MUSS ÜBERARBEITET WERDEN!",""),IF(I1&lt;E9,"LE FICHIER DOIT ETRE MIS A JOUR !",""))</f>
      </c>
      <c r="B13" s="105"/>
      <c r="C13" s="105"/>
      <c r="D13" s="105"/>
      <c r="E13" s="105"/>
      <c r="F13" s="105"/>
      <c r="G13" s="105"/>
      <c r="H13" s="23"/>
    </row>
    <row r="14" spans="1:8" ht="15.75">
      <c r="A14" s="13" t="str">
        <f>IF(K1=2,"Durchschnitt der ordentlichen Einkommen aus selbstständiger Erwerbstätigkeit","Moyenne des revenus ordinaires de l'activité indépendante")</f>
        <v>Moyenne des revenus ordinaires de l'activité indépendante</v>
      </c>
      <c r="B14" s="14"/>
      <c r="C14" s="15"/>
      <c r="D14" s="15"/>
      <c r="E14" s="15"/>
      <c r="F14" s="14"/>
      <c r="G14" s="14"/>
      <c r="H14" s="14"/>
    </row>
    <row r="15" spans="1:8" ht="15.75" thickBot="1">
      <c r="A15" s="14"/>
      <c r="B15" s="14"/>
      <c r="C15" s="15"/>
      <c r="D15" s="15"/>
      <c r="E15" s="15"/>
      <c r="F15" s="14"/>
      <c r="G15" s="14"/>
      <c r="H15" s="14"/>
    </row>
    <row r="16" spans="1:8" ht="26.25" customHeight="1">
      <c r="A16" s="60"/>
      <c r="B16" s="66"/>
      <c r="C16" s="110" t="str">
        <f>IF(K1=2,"Steuerperioden","Périodes fiscales")</f>
        <v>Périodes fiscales</v>
      </c>
      <c r="D16" s="110"/>
      <c r="E16" s="110"/>
      <c r="F16" s="110"/>
      <c r="G16" s="110"/>
      <c r="H16" s="25"/>
    </row>
    <row r="17" spans="1:33" ht="25.5" customHeight="1">
      <c r="A17" s="61" t="str">
        <f>IF(K1=2,"Bezeichnung","Désignation")</f>
        <v>Désignation</v>
      </c>
      <c r="B17" s="67" t="s">
        <v>10</v>
      </c>
      <c r="C17" s="26">
        <f>+E9-1</f>
        <v>2022</v>
      </c>
      <c r="D17" s="26">
        <f>+C17-1</f>
        <v>2021</v>
      </c>
      <c r="E17" s="26">
        <f>+D17-1</f>
        <v>2020</v>
      </c>
      <c r="F17" s="26">
        <f>+E17-1</f>
        <v>2019</v>
      </c>
      <c r="G17" s="26">
        <f>+F17-1</f>
        <v>2018</v>
      </c>
      <c r="H17" s="25"/>
      <c r="AB17">
        <f>IF(AB29=0,"",+C17)</f>
      </c>
      <c r="AC17">
        <f>IF(AC29=0,"",+D17)</f>
      </c>
      <c r="AD17">
        <f>IF(AD29=0,"",+E17)</f>
      </c>
      <c r="AE17">
        <f>IF(AE29=0,"",+F17)</f>
      </c>
      <c r="AF17">
        <f>IF(AF29=0,"",+G17)</f>
      </c>
      <c r="AG17">
        <f>SUM(AB17:AF17)</f>
        <v>0</v>
      </c>
    </row>
    <row r="18" spans="1:8" ht="12" customHeight="1">
      <c r="A18" s="14"/>
      <c r="B18" s="68"/>
      <c r="C18" s="76"/>
      <c r="D18" s="84"/>
      <c r="E18" s="84"/>
      <c r="F18" s="84"/>
      <c r="G18" s="76"/>
      <c r="H18" s="27"/>
    </row>
    <row r="19" spans="1:32" ht="22.5" customHeight="1">
      <c r="A19" s="62" t="str">
        <f>IF(K1=2,"Massgebendes Einkommen gemäss AHV-Mitteilung","Revenu déterminant selon communication AVS")</f>
        <v>Revenu déterminant selon communication AVS</v>
      </c>
      <c r="B19" s="69"/>
      <c r="C19" s="77"/>
      <c r="D19" s="85"/>
      <c r="E19" s="85"/>
      <c r="F19" s="85"/>
      <c r="G19" s="77"/>
      <c r="H19" s="18"/>
      <c r="J19" s="28">
        <f>IF(K1=2,IF(AG17&lt;1,"","A C H T U N G"),IF(AG17&lt;1,"","A T T E N T I O N"))</f>
      </c>
      <c r="AB19">
        <f>IF(C19="",0,1)</f>
        <v>0</v>
      </c>
      <c r="AC19">
        <f aca="true" t="shared" si="0" ref="AC19:AD27">IF(D19="",0,1)</f>
        <v>0</v>
      </c>
      <c r="AD19">
        <f t="shared" si="0"/>
        <v>0</v>
      </c>
      <c r="AE19">
        <f aca="true" t="shared" si="1" ref="AE19:AE27">IF(F19="",0,1)</f>
        <v>0</v>
      </c>
      <c r="AF19">
        <f aca="true" t="shared" si="2" ref="AF19:AF27">IF(G19="",0,1)</f>
        <v>0</v>
      </c>
    </row>
    <row r="20" spans="1:10" ht="12" customHeight="1">
      <c r="A20" s="16"/>
      <c r="B20" s="70"/>
      <c r="C20" s="18"/>
      <c r="D20" s="86"/>
      <c r="E20" s="86"/>
      <c r="F20" s="86"/>
      <c r="G20" s="18"/>
      <c r="H20" s="18"/>
      <c r="J20" s="14"/>
    </row>
    <row r="21" spans="1:32" ht="22.5" customHeight="1">
      <c r="A21" s="63" t="str">
        <f>IF(K1=2,"Einkommen aus Geschäftstätigkeit","Revenu d'une activité commerciale")</f>
        <v>Revenu d'une activité commerciale</v>
      </c>
      <c r="B21" s="71" t="s">
        <v>6</v>
      </c>
      <c r="C21" s="78"/>
      <c r="D21" s="87"/>
      <c r="E21" s="87"/>
      <c r="F21" s="87"/>
      <c r="G21" s="78"/>
      <c r="H21" s="18"/>
      <c r="J21" s="29">
        <f>IF(K1=2,IF(AG17&lt;1,"","Die Position AHV-Mitteilung und die Elemente sind bekannt!"),IF(AG17&lt;1,"","La position communication AVS et les éléments sont renseignés !"))</f>
      </c>
      <c r="AB21">
        <f>IF(C21="",0,1)</f>
        <v>0</v>
      </c>
      <c r="AC21">
        <f t="shared" si="0"/>
        <v>0</v>
      </c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22.5" customHeight="1">
      <c r="A22" s="64" t="str">
        <f>IF(K1=2,"Persönliche AHV-Beiträge","Cotisations AVS personnelles")</f>
        <v>Cotisations AVS personnelles</v>
      </c>
      <c r="B22" s="72">
        <v>1.61</v>
      </c>
      <c r="C22" s="79"/>
      <c r="D22" s="88"/>
      <c r="E22" s="88"/>
      <c r="F22" s="88"/>
      <c r="G22" s="79"/>
      <c r="H22" s="18"/>
      <c r="J22" s="29">
        <f>IF(K1=2,IF(AG17&lt;1,"","Jahr(en): "&amp;AB17&amp;", "&amp;AC17&amp;", "&amp;AD17&amp;", "&amp;AE17&amp;", "&amp;AF17),IF(AG17&lt;1,"","Année(s) concernée(s) : "&amp;AB17&amp;", "&amp;AC17&amp;", "&amp;AD17&amp;", "&amp;AE17&amp;", "&amp;AF17))</f>
      </c>
      <c r="AB22">
        <f aca="true" t="shared" si="3" ref="AB22:AB27">IF(C22="",0,1)</f>
        <v>0</v>
      </c>
      <c r="AC22">
        <f t="shared" si="0"/>
        <v>0</v>
      </c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22.5" customHeight="1">
      <c r="A23" s="64" t="str">
        <f>IF(K1=2,"Ertrag aus Geschäftskapitalien","Revenu des placements commerciaux")</f>
        <v>Revenu des placements commerciaux</v>
      </c>
      <c r="B23" s="72">
        <v>3.22</v>
      </c>
      <c r="C23" s="79"/>
      <c r="D23" s="88"/>
      <c r="E23" s="88"/>
      <c r="F23" s="88"/>
      <c r="G23" s="79"/>
      <c r="H23" s="18"/>
      <c r="AB23">
        <f t="shared" si="3"/>
        <v>0</v>
      </c>
      <c r="AC23">
        <f t="shared" si="0"/>
        <v>0</v>
      </c>
      <c r="AD23">
        <f t="shared" si="0"/>
        <v>0</v>
      </c>
      <c r="AE23">
        <f t="shared" si="1"/>
        <v>0</v>
      </c>
      <c r="AF23">
        <f t="shared" si="2"/>
        <v>0</v>
      </c>
    </row>
    <row r="24" spans="1:32" ht="22.5" customHeight="1">
      <c r="A24" s="64" t="str">
        <f>IF(K1=2,"Mietwert Geschäftsliegenschaften","Valeur locative des immeubles commerciaux")</f>
        <v>Valeur locative des immeubles commerciaux</v>
      </c>
      <c r="B24" s="72" t="s">
        <v>7</v>
      </c>
      <c r="C24" s="79"/>
      <c r="D24" s="88"/>
      <c r="E24" s="88"/>
      <c r="F24" s="88"/>
      <c r="G24" s="79"/>
      <c r="H24" s="18"/>
      <c r="AB24">
        <f t="shared" si="3"/>
        <v>0</v>
      </c>
      <c r="AC24">
        <f t="shared" si="0"/>
        <v>0</v>
      </c>
      <c r="AD24">
        <f t="shared" si="0"/>
        <v>0</v>
      </c>
      <c r="AE24">
        <f t="shared" si="1"/>
        <v>0</v>
      </c>
      <c r="AF24">
        <f t="shared" si="2"/>
        <v>0</v>
      </c>
    </row>
    <row r="25" spans="1:32" ht="22.5" customHeight="1">
      <c r="A25" s="64" t="str">
        <f>IF(K1=2,"Miet-/Pachterträge Geschäftsliegenschaften","Loyers et fermages des immeubles commerciaux")</f>
        <v>Loyers et fermages des immeubles commerciaux</v>
      </c>
      <c r="B25" s="72" t="s">
        <v>8</v>
      </c>
      <c r="C25" s="79"/>
      <c r="D25" s="88"/>
      <c r="E25" s="88"/>
      <c r="F25" s="88"/>
      <c r="G25" s="79"/>
      <c r="H25" s="18"/>
      <c r="K25" s="30"/>
      <c r="AB25">
        <f t="shared" si="3"/>
        <v>0</v>
      </c>
      <c r="AC25">
        <f t="shared" si="0"/>
        <v>0</v>
      </c>
      <c r="AD25">
        <f t="shared" si="0"/>
        <v>0</v>
      </c>
      <c r="AE25">
        <f t="shared" si="1"/>
        <v>0</v>
      </c>
      <c r="AF25">
        <f t="shared" si="2"/>
        <v>0</v>
      </c>
    </row>
    <row r="26" spans="1:32" ht="22.5" customHeight="1">
      <c r="A26" s="64" t="str">
        <f>IF(K1=2,"Zinsen auf Geschäftsschulden","Intérêts passifs commerciaux")</f>
        <v>Intérêts passifs commerciaux</v>
      </c>
      <c r="B26" s="73">
        <v>4.22</v>
      </c>
      <c r="C26" s="80"/>
      <c r="D26" s="89"/>
      <c r="E26" s="89"/>
      <c r="F26" s="89"/>
      <c r="G26" s="80"/>
      <c r="H26" s="31"/>
      <c r="AB26">
        <f t="shared" si="3"/>
        <v>0</v>
      </c>
      <c r="AC26">
        <f t="shared" si="0"/>
        <v>0</v>
      </c>
      <c r="AD26">
        <f t="shared" si="0"/>
        <v>0</v>
      </c>
      <c r="AE26">
        <f t="shared" si="1"/>
        <v>0</v>
      </c>
      <c r="AF26">
        <f t="shared" si="2"/>
        <v>0</v>
      </c>
    </row>
    <row r="27" spans="1:32" ht="22.5" customHeight="1">
      <c r="A27" s="65" t="str">
        <f>IF(K1=2,"Unterhaltskosten Geschäftsliegenschaften","Frais d'immeubles commerciaux")</f>
        <v>Frais d'immeubles commerciaux</v>
      </c>
      <c r="B27" s="74" t="s">
        <v>9</v>
      </c>
      <c r="C27" s="81"/>
      <c r="D27" s="90"/>
      <c r="E27" s="90"/>
      <c r="F27" s="90"/>
      <c r="G27" s="81"/>
      <c r="H27" s="31"/>
      <c r="AB27">
        <f t="shared" si="3"/>
        <v>0</v>
      </c>
      <c r="AC27">
        <f t="shared" si="0"/>
        <v>0</v>
      </c>
      <c r="AD27">
        <f t="shared" si="0"/>
        <v>0</v>
      </c>
      <c r="AE27">
        <f t="shared" si="1"/>
        <v>0</v>
      </c>
      <c r="AF27">
        <f t="shared" si="2"/>
        <v>0</v>
      </c>
    </row>
    <row r="28" spans="1:8" ht="9.75" customHeight="1">
      <c r="A28" s="62"/>
      <c r="B28" s="75"/>
      <c r="C28" s="82"/>
      <c r="D28" s="91"/>
      <c r="E28" s="91"/>
      <c r="F28" s="91"/>
      <c r="G28" s="82"/>
      <c r="H28" s="32"/>
    </row>
    <row r="29" spans="1:32" ht="22.5" customHeight="1">
      <c r="A29" s="33"/>
      <c r="B29" s="93"/>
      <c r="C29" s="92">
        <f>IF(C19="",+C21+C22+C23+C24+C25-C26-C27,C19)</f>
        <v>0</v>
      </c>
      <c r="D29" s="92">
        <f>IF(D19="",+D21+D22+D23+D24+D25-D26-D27,D19)</f>
        <v>0</v>
      </c>
      <c r="E29" s="92">
        <f>IF(E19="",+E21+E22+E23+E24+E25-E26-E27,E19)</f>
        <v>0</v>
      </c>
      <c r="F29" s="92">
        <f>IF(F19="",+F21+F22+F23+F24+F25-F26-F27,F19)</f>
        <v>0</v>
      </c>
      <c r="G29" s="83">
        <f>IF(G19="",+G21+G22+G23+G24+G25-G26-G27,G19)</f>
        <v>0</v>
      </c>
      <c r="H29" s="32"/>
      <c r="AB29">
        <f>IF(AB19=1,SUM(AB21:AB27),0)</f>
        <v>0</v>
      </c>
      <c r="AC29">
        <f>IF(AC19=1,SUM(AC21:AC27),0)</f>
        <v>0</v>
      </c>
      <c r="AD29">
        <f>IF(AD19=1,SUM(AD21:AD27),0)</f>
        <v>0</v>
      </c>
      <c r="AE29">
        <f>IF(AE19=1,SUM(AE21:AE27),0)</f>
        <v>0</v>
      </c>
      <c r="AF29">
        <f>IF(AF19=1,SUM(AF21:AF27),0)</f>
        <v>0</v>
      </c>
    </row>
    <row r="30" spans="1:33" ht="35.25" customHeight="1">
      <c r="A30" s="97" t="str">
        <f>IF(K1=2,"Durchschnitt der ordentlichen Einkommen aus selbstständiger Erwerbstätigkeit","Moyenne des revenus ordinaires de l'activité indépendante")</f>
        <v>Moyenne des revenus ordinaires de l'activité indépendante</v>
      </c>
      <c r="B30" s="98"/>
      <c r="C30" s="34"/>
      <c r="D30" s="34"/>
      <c r="E30" s="35">
        <f>IF(AG30=0,0,IF((SUM(C29:G29)/AG30)&gt;L1,L1,SUM(C29:G29)/AG30))</f>
        <v>0</v>
      </c>
      <c r="F30" s="34"/>
      <c r="G30" s="34"/>
      <c r="H30" s="36"/>
      <c r="AB30">
        <f>IF(C29=0,1,1)</f>
        <v>1</v>
      </c>
      <c r="AC30">
        <f>IF(D29=0,1,1)</f>
        <v>1</v>
      </c>
      <c r="AD30">
        <f>IF(E29=0,1,1)</f>
        <v>1</v>
      </c>
      <c r="AE30">
        <f>IF(F29=0,1,1)</f>
        <v>1</v>
      </c>
      <c r="AF30">
        <f>IF(G29=0,1,1)</f>
        <v>1</v>
      </c>
      <c r="AG30">
        <f>SUM(AB30:AF30)</f>
        <v>5</v>
      </c>
    </row>
    <row r="31" spans="1:8" ht="15">
      <c r="A31" s="14"/>
      <c r="B31" s="27"/>
      <c r="C31" s="37"/>
      <c r="D31" s="37"/>
      <c r="E31" s="37"/>
      <c r="F31" s="37"/>
      <c r="G31" s="37"/>
      <c r="H31" s="37"/>
    </row>
    <row r="32" spans="1:8" ht="15">
      <c r="A32" s="14"/>
      <c r="B32" s="27"/>
      <c r="C32" s="37"/>
      <c r="D32" s="37"/>
      <c r="E32" s="37"/>
      <c r="F32" s="37"/>
      <c r="G32" s="37"/>
      <c r="H32" s="37"/>
    </row>
    <row r="33" spans="1:8" s="40" customFormat="1" ht="15.75">
      <c r="A33" s="13" t="str">
        <f>IF(K1=2,"Berechnung der fiktiven Einkaufssumme","Calculation du rachat fictif de prévoyance")</f>
        <v>Calculation du rachat fictif de prévoyance</v>
      </c>
      <c r="B33" s="38"/>
      <c r="C33" s="39"/>
      <c r="D33" s="39"/>
      <c r="E33" s="38"/>
      <c r="F33" s="39"/>
      <c r="G33" s="39"/>
      <c r="H33" s="39"/>
    </row>
    <row r="34" spans="1:8" ht="15">
      <c r="A34" s="14"/>
      <c r="B34" s="14"/>
      <c r="C34" s="37"/>
      <c r="D34" s="37"/>
      <c r="E34" s="14"/>
      <c r="F34" s="37"/>
      <c r="G34" s="37"/>
      <c r="H34" s="37"/>
    </row>
    <row r="35" spans="1:8" ht="15">
      <c r="A35" s="41" t="str">
        <f>IF(K1=2,"Ermittlung der Vorsorgelücke","Détermination de la lacune de prévoyance")</f>
        <v>Détermination de la lacune de prévoyance</v>
      </c>
      <c r="B35" s="14"/>
      <c r="C35" s="42"/>
      <c r="D35" s="42"/>
      <c r="E35" s="14"/>
      <c r="F35" s="42"/>
      <c r="G35" s="42"/>
      <c r="H35" s="42"/>
    </row>
    <row r="36" spans="1:8" ht="15">
      <c r="A36" s="14"/>
      <c r="B36" s="14"/>
      <c r="C36" s="43"/>
      <c r="D36" s="43"/>
      <c r="E36" s="14"/>
      <c r="F36" s="43"/>
      <c r="G36" s="43"/>
      <c r="H36" s="43"/>
    </row>
    <row r="37" spans="1:8" ht="19.5" customHeight="1">
      <c r="A37" s="14" t="str">
        <f>IF(K1=2,"Anzahl mögliche Einkaufsjahre","Nombre d'années de rachat potentiel")</f>
        <v>Nombre d'années de rachat potentiel</v>
      </c>
      <c r="B37" s="14"/>
      <c r="C37" s="37"/>
      <c r="D37" s="37"/>
      <c r="E37" s="44">
        <f>IF(I7=1,(IF(+E10-24&lt;40,E10-24,40)),IF(+E10-24&lt;39,E10-24,39))</f>
        <v>40</v>
      </c>
      <c r="F37" s="45"/>
      <c r="G37" s="45"/>
      <c r="H37" s="45"/>
    </row>
    <row r="38" spans="1:8" ht="16.5" customHeight="1">
      <c r="A38" s="108" t="str">
        <f>IF(K1=2,"Durchschnitt der jährlichen Vorsorgelücke","Lacune annuelle moyenne")</f>
        <v>Lacune annuelle moyenne</v>
      </c>
      <c r="B38" s="109"/>
      <c r="C38" s="109"/>
      <c r="D38" s="16"/>
      <c r="E38" s="96">
        <f>E30*15/100</f>
        <v>0</v>
      </c>
      <c r="F38" s="45"/>
      <c r="G38" s="45"/>
      <c r="H38" s="45"/>
    </row>
    <row r="39" spans="1:8" ht="17.25" customHeight="1">
      <c r="A39" s="102" t="str">
        <f>IF(K1=2,"(Durchschnittseinkommen zum Altersgutschriftensatz von 15%)","(revenu moyen au taux de bonifications de vieillesse de 15%)")</f>
        <v>(revenu moyen au taux de bonifications de vieillesse de 15%)</v>
      </c>
      <c r="B39" s="102"/>
      <c r="C39" s="102"/>
      <c r="D39" s="16"/>
      <c r="E39" s="96"/>
      <c r="F39" s="45"/>
      <c r="G39" s="45"/>
      <c r="H39" s="45"/>
    </row>
    <row r="40" spans="1:8" ht="19.5" customHeight="1">
      <c r="A40" s="14" t="str">
        <f>IF(K1=2,"Total Vorsorgelücke","Total de la lacune de prévoyance")</f>
        <v>Total de la lacune de prévoyance</v>
      </c>
      <c r="B40" s="14"/>
      <c r="C40" s="37"/>
      <c r="D40" s="37"/>
      <c r="E40" s="46">
        <f>+E38*E37</f>
        <v>0</v>
      </c>
      <c r="F40" s="45"/>
      <c r="G40" s="45">
        <f>+E40</f>
        <v>0</v>
      </c>
      <c r="H40" s="45"/>
    </row>
    <row r="41" spans="1:8" ht="15">
      <c r="A41" s="14"/>
      <c r="B41" s="14"/>
      <c r="C41" s="37"/>
      <c r="D41" s="37"/>
      <c r="E41" s="47"/>
      <c r="F41" s="37"/>
      <c r="G41" s="37"/>
      <c r="H41" s="37"/>
    </row>
    <row r="42" spans="1:8" ht="15">
      <c r="A42" s="41" t="str">
        <f>IF(K1=2,"Ermittlung der Vorsorgeguthaben und der Vorsorgebezüge","Détermination des avoirs et des retraits de prévoyance")</f>
        <v>Détermination des avoirs et des retraits de prévoyance</v>
      </c>
      <c r="B42" s="14"/>
      <c r="C42" s="37"/>
      <c r="D42" s="37"/>
      <c r="E42" s="14"/>
      <c r="F42" s="37"/>
      <c r="G42" s="37"/>
      <c r="H42" s="37"/>
    </row>
    <row r="43" spans="1:8" ht="15">
      <c r="A43" s="14"/>
      <c r="B43" s="27"/>
      <c r="C43" s="42"/>
      <c r="D43" s="42"/>
      <c r="E43" s="42"/>
      <c r="F43" s="42"/>
      <c r="G43" s="42"/>
      <c r="H43" s="42"/>
    </row>
    <row r="44" spans="1:8" ht="19.5" customHeight="1">
      <c r="A44" s="48" t="str">
        <f>IF(K1=2,"2. Säule","2ème pilier")</f>
        <v>2ème pilier</v>
      </c>
      <c r="B44" s="16"/>
      <c r="C44" s="16"/>
      <c r="D44" s="14"/>
      <c r="E44" s="44"/>
      <c r="F44" s="14"/>
      <c r="G44" s="44"/>
      <c r="H44" s="44"/>
    </row>
    <row r="45" spans="1:8" ht="4.5" customHeight="1">
      <c r="A45" s="48"/>
      <c r="B45" s="16"/>
      <c r="C45" s="16"/>
      <c r="D45" s="14"/>
      <c r="E45" s="44"/>
      <c r="F45" s="14"/>
      <c r="G45" s="44"/>
      <c r="H45" s="44"/>
    </row>
    <row r="46" spans="1:8" ht="19.5" customHeight="1">
      <c r="A46" s="49" t="str">
        <f>IF(K1=2,"-  Guthaben 2. Säule *","-  Avoir 2ème pilier *")</f>
        <v>-  Avoir 2ème pilier *</v>
      </c>
      <c r="B46" s="27"/>
      <c r="C46" s="14"/>
      <c r="D46" s="14"/>
      <c r="E46" s="50"/>
      <c r="F46" s="14"/>
      <c r="G46" s="14"/>
      <c r="H46" s="14"/>
    </row>
    <row r="47" spans="1:8" ht="19.5" customHeight="1">
      <c r="A47" s="49" t="str">
        <f>IF(K1=2,"-  Bezüge 2. Säule *","-  Retrait au 2ème pilier *")</f>
        <v>-  Retrait au 2ème pilier *</v>
      </c>
      <c r="B47" s="27"/>
      <c r="C47" s="14"/>
      <c r="D47" s="14"/>
      <c r="E47" s="51"/>
      <c r="F47" s="14"/>
      <c r="G47" s="52">
        <f>-E46-E47</f>
        <v>0</v>
      </c>
      <c r="H47" s="52"/>
    </row>
    <row r="48" spans="1:8" ht="19.5" customHeight="1">
      <c r="A48" s="112"/>
      <c r="B48" s="101"/>
      <c r="C48" s="101"/>
      <c r="D48" s="14"/>
      <c r="E48" s="45"/>
      <c r="F48" s="14"/>
      <c r="G48" s="44"/>
      <c r="H48" s="44"/>
    </row>
    <row r="49" spans="1:8" ht="19.5" customHeight="1">
      <c r="A49" s="113" t="str">
        <f>IF(K1=2,"3. Säule a","3ème pilier a")</f>
        <v>3ème pilier a</v>
      </c>
      <c r="B49" s="114"/>
      <c r="C49" s="114"/>
      <c r="D49" s="42"/>
      <c r="E49" s="42"/>
      <c r="F49" s="42"/>
      <c r="G49" s="42"/>
      <c r="H49" s="42"/>
    </row>
    <row r="50" spans="1:8" ht="4.5" customHeight="1">
      <c r="A50" s="48"/>
      <c r="D50" s="42"/>
      <c r="E50" s="42"/>
      <c r="F50" s="42"/>
      <c r="G50" s="42"/>
      <c r="H50" s="42"/>
    </row>
    <row r="51" spans="1:8" ht="19.5" customHeight="1">
      <c r="A51" s="107" t="str">
        <f>IF(K1=2,"Kapitalisierter kleiner BVV3 - Abzug (jährliche Anpassung)","Petite déduction OPP3 capitalisée (adaptation annuelle)")</f>
        <v>Petite déduction OPP3 capitalisée (adaptation annuelle)</v>
      </c>
      <c r="B51" s="101"/>
      <c r="C51" s="101"/>
      <c r="D51" s="14"/>
      <c r="E51" s="45">
        <f>IF((E52+E53)&gt;0,IF(E8&lt;1962,(VLOOKUP(1962,LPP!A10:Z100,(VLOOKUP(E9,LPP!B10:C100,2)))),(VLOOKUP(E8,LPP!A10:Z100,(VLOOKUP(E9,LPP!B10:C100,2))))),)</f>
        <v>0</v>
      </c>
      <c r="F51" s="42"/>
      <c r="G51" s="42"/>
      <c r="H51" s="42"/>
    </row>
    <row r="52" spans="1:8" ht="19.5" customHeight="1">
      <c r="A52" s="49" t="str">
        <f>IF(K1=2,"-  Guthaben Säule 3a *","-  Avoir au 3ème pilier a *")</f>
        <v>-  Avoir au 3ème pilier a *</v>
      </c>
      <c r="B52" s="53"/>
      <c r="C52" s="42"/>
      <c r="D52" s="42"/>
      <c r="E52" s="50"/>
      <c r="F52" s="42"/>
      <c r="G52" s="42"/>
      <c r="H52" s="42"/>
    </row>
    <row r="53" spans="1:8" ht="19.5" customHeight="1">
      <c r="A53" s="49" t="str">
        <f>IF(K1=2,"-  Bezüge Säule 3a *","-  Retrait au 3ème pilier a *")</f>
        <v>-  Retrait au 3ème pilier a *</v>
      </c>
      <c r="B53" s="27"/>
      <c r="C53" s="14"/>
      <c r="D53" s="14"/>
      <c r="E53" s="51"/>
      <c r="F53" s="54"/>
      <c r="G53" s="55">
        <f>IF((+E51-E52-E53)&gt;0,0,(+E51-E52-E53))</f>
        <v>0</v>
      </c>
      <c r="H53" s="52" t="str">
        <f>IF(G53&lt;0,"","**")</f>
        <v>**</v>
      </c>
    </row>
    <row r="54" spans="1:8" ht="19.5" customHeight="1">
      <c r="A54" s="100"/>
      <c r="B54" s="101"/>
      <c r="C54" s="101"/>
      <c r="D54" s="14"/>
      <c r="E54" s="44"/>
      <c r="F54" s="14"/>
      <c r="G54" s="44"/>
      <c r="H54" s="44"/>
    </row>
    <row r="55" spans="1:8" ht="34.5" customHeight="1" thickBot="1">
      <c r="A55" s="28" t="str">
        <f>IF(K1=2,"Fiktive Einkaufssumme oder Vorsorgelücke","Rachat fictif ou lacune de prévoyance")</f>
        <v>Rachat fictif ou lacune de prévoyance</v>
      </c>
      <c r="B55" s="28"/>
      <c r="C55" s="28"/>
      <c r="D55" s="28"/>
      <c r="E55" s="28"/>
      <c r="F55" s="99">
        <f>IF(I1&lt;E9,"",SUM(G40:G54))</f>
        <v>0</v>
      </c>
      <c r="G55" s="99"/>
      <c r="H55" s="56"/>
    </row>
    <row r="56" spans="1:8" ht="15.75" thickTop="1">
      <c r="A56" s="14"/>
      <c r="B56" s="14"/>
      <c r="C56" s="14"/>
      <c r="D56" s="14"/>
      <c r="E56" s="14"/>
      <c r="F56" s="14"/>
      <c r="G56" s="14"/>
      <c r="H56" s="14"/>
    </row>
    <row r="57" spans="1:8" ht="15">
      <c r="A57" s="57" t="str">
        <f>IF(K1=2,"*  Diese Beträge sind durch die steuerpflichtige Person zu bescheinigen.","*  Ces montants doivent être justifiés par le contribuable")</f>
        <v>*  Ces montants doivent être justifiés par le contribuable</v>
      </c>
      <c r="B57" s="14"/>
      <c r="C57" s="14"/>
      <c r="D57" s="14"/>
      <c r="E57" s="14"/>
      <c r="F57" s="14"/>
      <c r="G57" s="14"/>
      <c r="H57" s="14"/>
    </row>
    <row r="58" spans="1:8" ht="15">
      <c r="A58" s="58" t="str">
        <f>IF(K1=2,IF(G53&lt;0,"","** In diesem Fall wird das Ergebnis der Säule 3a nicht berücksichtigt."),IF(G53&lt;0,"","** Dans ce cas le résultat du 3ème pilier n'est pas repris"))</f>
        <v>** Dans ce cas le résultat du 3ème pilier n'est pas repris</v>
      </c>
      <c r="B58" s="14"/>
      <c r="C58" s="14"/>
      <c r="D58" s="14"/>
      <c r="E58" s="14"/>
      <c r="F58" s="14"/>
      <c r="G58" s="14"/>
      <c r="H58" s="14"/>
    </row>
    <row r="59" spans="1:8" ht="15">
      <c r="A59" s="14"/>
      <c r="B59" s="14"/>
      <c r="C59" s="14"/>
      <c r="D59" s="14"/>
      <c r="E59" s="14"/>
      <c r="F59" s="14"/>
      <c r="G59" s="14"/>
      <c r="H59" s="14"/>
    </row>
    <row r="60" ht="15">
      <c r="A60" s="59" t="str">
        <f>"V"&amp;J1&amp;"."&amp;I1</f>
        <v>V1.10.2023</v>
      </c>
    </row>
  </sheetData>
  <sheetProtection password="DACD" sheet="1" objects="1" scenarios="1" selectLockedCells="1"/>
  <mergeCells count="17">
    <mergeCell ref="A1:G1"/>
    <mergeCell ref="A51:C51"/>
    <mergeCell ref="A38:C38"/>
    <mergeCell ref="C16:G16"/>
    <mergeCell ref="A12:G12"/>
    <mergeCell ref="A48:C48"/>
    <mergeCell ref="A49:C49"/>
    <mergeCell ref="A13:G13"/>
    <mergeCell ref="J6:K6"/>
    <mergeCell ref="E38:E39"/>
    <mergeCell ref="A30:B30"/>
    <mergeCell ref="F55:G55"/>
    <mergeCell ref="A54:C54"/>
    <mergeCell ref="A39:C39"/>
    <mergeCell ref="B6:E6"/>
    <mergeCell ref="B7:E7"/>
    <mergeCell ref="A11:G11"/>
  </mergeCells>
  <conditionalFormatting sqref="A12:H12">
    <cfRule type="expression" priority="24" dxfId="0" stopIfTrue="1">
      <formula>$E$10&gt;$J$7</formula>
    </cfRule>
    <cfRule type="expression" priority="25" dxfId="0" stopIfTrue="1">
      <formula>$E$10&lt;55</formula>
    </cfRule>
  </conditionalFormatting>
  <conditionalFormatting sqref="A11:H11 A13:H13">
    <cfRule type="expression" priority="22" dxfId="8" stopIfTrue="1">
      <formula>$I$1&lt;$E$9</formula>
    </cfRule>
  </conditionalFormatting>
  <conditionalFormatting sqref="C21:C27">
    <cfRule type="expression" priority="8" dxfId="3" stopIfTrue="1">
      <formula>$AB$19=1</formula>
    </cfRule>
  </conditionalFormatting>
  <conditionalFormatting sqref="D21:D27">
    <cfRule type="expression" priority="7" dxfId="3" stopIfTrue="1">
      <formula>$AC$19=1</formula>
    </cfRule>
  </conditionalFormatting>
  <conditionalFormatting sqref="E21:E27">
    <cfRule type="expression" priority="6" dxfId="3" stopIfTrue="1">
      <formula>$AD$19=1</formula>
    </cfRule>
  </conditionalFormatting>
  <conditionalFormatting sqref="F21:F27">
    <cfRule type="expression" priority="5" dxfId="3" stopIfTrue="1">
      <formula>$AE$19=1</formula>
    </cfRule>
  </conditionalFormatting>
  <conditionalFormatting sqref="G21:G27">
    <cfRule type="expression" priority="4" dxfId="3" stopIfTrue="1">
      <formula>$AF$19=1</formula>
    </cfRule>
  </conditionalFormatting>
  <conditionalFormatting sqref="J19:O19">
    <cfRule type="expression" priority="3" dxfId="0" stopIfTrue="1">
      <formula>$AG$17&gt;1</formula>
    </cfRule>
  </conditionalFormatting>
  <conditionalFormatting sqref="J21:O21">
    <cfRule type="expression" priority="2" dxfId="0" stopIfTrue="1">
      <formula>$AG$17&gt;1</formula>
    </cfRule>
  </conditionalFormatting>
  <conditionalFormatting sqref="J22:O22">
    <cfRule type="expression" priority="1" dxfId="0" stopIfTrue="1">
      <formula>$AG$17&gt;1</formula>
    </cfRule>
  </conditionalFormatting>
  <printOptions/>
  <pageMargins left="0.984251968503937" right="0.5905511811023623" top="1.5748031496062993" bottom="1.1811023622047245" header="0.31496062992125984" footer="0.35433070866141736"/>
  <pageSetup fitToHeight="1" fitToWidth="1" horizontalDpi="600" verticalDpi="600" orientation="portrait" paperSize="9" scale="60" r:id="rId3"/>
  <headerFooter differentFirst="1">
    <oddHeader>&amp;L&amp;"Arial,Normal"&amp;8&amp;G &amp;"Arial,Gras"Service cantonal des contributions&amp;"Arial,Normal" SCC
       Page &amp;P de &amp;N</oddHeader>
    <firstHeader>&amp;L&amp;G&amp;R&amp;"Arial,Gras"&amp;8Service cantonal des contributions &amp;"Arial,Normal"SCC&amp;"Arial,Gras"
Kantonale Steuerverwaltung &amp;"Arial,Normal"KSTV
</firstHeader>
    <firstFooter>&amp;L&amp;"Arial,Normal"&amp;8—
Direction des finances &amp;"Arial,Gras"DFIN&amp;"Arial,Normal"
Finanzdirektion &amp;"Arial,Gras"FIND</first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Z47"/>
  <sheetViews>
    <sheetView zoomScalePageLayoutView="0" workbookViewId="0" topLeftCell="A12">
      <selection activeCell="W7" sqref="W7"/>
    </sheetView>
  </sheetViews>
  <sheetFormatPr defaultColWidth="11.421875" defaultRowHeight="15"/>
  <sheetData>
    <row r="1" spans="1:6" ht="15">
      <c r="A1">
        <f>LOOKUP(3000,D8:AL8)</f>
        <v>2024</v>
      </c>
      <c r="B1">
        <v>1</v>
      </c>
      <c r="E1" s="5" t="s">
        <v>13</v>
      </c>
      <c r="F1" s="5"/>
    </row>
    <row r="3" spans="2:26" ht="15">
      <c r="B3" t="s">
        <v>12</v>
      </c>
      <c r="K3">
        <v>820800</v>
      </c>
      <c r="L3">
        <v>820800</v>
      </c>
      <c r="M3">
        <v>835200</v>
      </c>
      <c r="N3">
        <v>835200</v>
      </c>
      <c r="O3">
        <v>842400</v>
      </c>
      <c r="P3">
        <v>842400</v>
      </c>
      <c r="Q3">
        <v>846000</v>
      </c>
      <c r="R3">
        <v>846000</v>
      </c>
      <c r="S3">
        <v>846000</v>
      </c>
      <c r="T3">
        <v>846000</v>
      </c>
      <c r="U3">
        <v>853200</v>
      </c>
      <c r="V3">
        <v>853200</v>
      </c>
      <c r="W3">
        <v>860400</v>
      </c>
      <c r="X3">
        <v>860400</v>
      </c>
      <c r="Y3">
        <v>882000</v>
      </c>
      <c r="Z3">
        <v>882000</v>
      </c>
    </row>
    <row r="5" spans="2:26" ht="15">
      <c r="B5" t="s">
        <v>0</v>
      </c>
      <c r="D5">
        <v>5933</v>
      </c>
      <c r="E5">
        <v>6077</v>
      </c>
      <c r="F5">
        <v>6077</v>
      </c>
      <c r="G5">
        <v>6192</v>
      </c>
      <c r="H5">
        <v>6192</v>
      </c>
      <c r="I5">
        <v>6365</v>
      </c>
      <c r="J5">
        <v>6365</v>
      </c>
      <c r="K5">
        <v>6566</v>
      </c>
      <c r="L5">
        <v>6566</v>
      </c>
      <c r="M5">
        <v>6682</v>
      </c>
      <c r="N5">
        <v>6682</v>
      </c>
      <c r="O5">
        <v>6739</v>
      </c>
      <c r="P5">
        <v>6739</v>
      </c>
      <c r="Q5">
        <v>6768</v>
      </c>
      <c r="R5">
        <v>6768</v>
      </c>
      <c r="S5">
        <v>6768</v>
      </c>
      <c r="T5">
        <v>6768</v>
      </c>
      <c r="U5">
        <v>6826</v>
      </c>
      <c r="V5">
        <v>6826</v>
      </c>
      <c r="W5">
        <v>6883</v>
      </c>
      <c r="X5">
        <v>6883</v>
      </c>
      <c r="Y5">
        <v>7056</v>
      </c>
      <c r="Z5">
        <v>7056</v>
      </c>
    </row>
    <row r="6" spans="2:26" ht="15">
      <c r="B6" t="s">
        <v>1</v>
      </c>
      <c r="D6">
        <v>4</v>
      </c>
      <c r="E6">
        <v>3.25</v>
      </c>
      <c r="F6">
        <v>2.25</v>
      </c>
      <c r="G6">
        <v>2.5</v>
      </c>
      <c r="H6">
        <v>2.5</v>
      </c>
      <c r="I6">
        <v>2.5</v>
      </c>
      <c r="J6">
        <v>2.75</v>
      </c>
      <c r="K6">
        <v>2</v>
      </c>
      <c r="L6">
        <v>2</v>
      </c>
      <c r="M6">
        <v>2</v>
      </c>
      <c r="N6">
        <v>1.5</v>
      </c>
      <c r="O6">
        <v>1.5</v>
      </c>
      <c r="P6">
        <v>1.75</v>
      </c>
      <c r="Q6">
        <v>1.75</v>
      </c>
      <c r="R6">
        <v>1.25</v>
      </c>
      <c r="S6">
        <v>1</v>
      </c>
      <c r="T6">
        <v>1</v>
      </c>
      <c r="U6">
        <v>1</v>
      </c>
      <c r="V6">
        <v>1</v>
      </c>
      <c r="W6">
        <v>1.25</v>
      </c>
      <c r="X6">
        <v>1</v>
      </c>
      <c r="Y6">
        <v>1</v>
      </c>
      <c r="Z6">
        <v>1</v>
      </c>
    </row>
    <row r="7" spans="8:13" ht="15">
      <c r="H7" s="115" t="s">
        <v>3</v>
      </c>
      <c r="I7" s="115"/>
      <c r="J7" s="115"/>
      <c r="K7" s="115"/>
      <c r="L7" s="115"/>
      <c r="M7" s="115"/>
    </row>
    <row r="8" spans="1:26" ht="45">
      <c r="A8" s="3" t="s">
        <v>2</v>
      </c>
      <c r="B8" s="3" t="s">
        <v>4</v>
      </c>
      <c r="C8" s="3" t="s">
        <v>5</v>
      </c>
      <c r="D8" s="3">
        <v>2002</v>
      </c>
      <c r="E8" s="3">
        <v>2003</v>
      </c>
      <c r="F8" s="3">
        <v>2004</v>
      </c>
      <c r="G8" s="3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  <c r="Z8" s="4">
        <v>2024</v>
      </c>
    </row>
    <row r="10" spans="1:26" ht="15">
      <c r="A10" s="2">
        <v>1962</v>
      </c>
      <c r="B10" s="1">
        <v>1987</v>
      </c>
      <c r="C10" s="1"/>
      <c r="D10">
        <v>112378</v>
      </c>
      <c r="E10">
        <f aca="true" t="shared" si="0" ref="E10:E26">ROUNDUP(((+D10*E$6/100)+D10+E$5),0)</f>
        <v>122108</v>
      </c>
      <c r="F10">
        <f aca="true" t="shared" si="1" ref="F10:G27">ROUNDUP(((+E10*F$6/100)+E10+F$5),0)</f>
        <v>130933</v>
      </c>
      <c r="G10">
        <f aca="true" t="shared" si="2" ref="G10:G24">ROUNDUP(((+F10*G$6/100)+F10+G$5),0)</f>
        <v>140399</v>
      </c>
      <c r="H10">
        <v>150099</v>
      </c>
      <c r="I10">
        <v>160216</v>
      </c>
      <c r="J10">
        <v>170987</v>
      </c>
      <c r="K10">
        <v>180973</v>
      </c>
      <c r="L10">
        <v>191158</v>
      </c>
      <c r="M10">
        <f>ROUNDUP(((+L10*M$6/100)+L10+M$5),0)-1</f>
        <v>201663</v>
      </c>
      <c r="N10">
        <f>ROUNDUP(((+M10*N$6/100)+M10+N$5),0)</f>
        <v>211370</v>
      </c>
      <c r="O10">
        <f>ROUNDUP(((+N10*O$6/100)+N10+O$5),0)</f>
        <v>221280</v>
      </c>
      <c r="P10">
        <v>231891</v>
      </c>
      <c r="Q10">
        <v>242717</v>
      </c>
      <c r="R10" s="94">
        <v>252519</v>
      </c>
      <c r="S10">
        <v>261813</v>
      </c>
      <c r="T10">
        <v>271199</v>
      </c>
      <c r="U10">
        <v>280737</v>
      </c>
      <c r="V10">
        <v>290370</v>
      </c>
      <c r="W10">
        <v>300157</v>
      </c>
      <c r="X10">
        <f aca="true" t="shared" si="3" ref="X10:X45">ROUNDUP(((+W10*X$6/100)+W10+X$5),0)</f>
        <v>310042</v>
      </c>
      <c r="Y10">
        <v>320198</v>
      </c>
      <c r="Z10">
        <v>331257</v>
      </c>
    </row>
    <row r="11" spans="1:26" ht="15">
      <c r="A11" s="2">
        <f>+A10+1</f>
        <v>1963</v>
      </c>
      <c r="B11" s="1">
        <f>1+B10</f>
        <v>1988</v>
      </c>
      <c r="C11" s="1"/>
      <c r="D11">
        <v>104909</v>
      </c>
      <c r="E11">
        <f t="shared" si="0"/>
        <v>114396</v>
      </c>
      <c r="F11">
        <f t="shared" si="1"/>
        <v>123047</v>
      </c>
      <c r="G11">
        <f t="shared" si="2"/>
        <v>132316</v>
      </c>
      <c r="H11">
        <v>141815</v>
      </c>
      <c r="I11">
        <v>151725</v>
      </c>
      <c r="J11">
        <v>162263</v>
      </c>
      <c r="K11">
        <v>172074</v>
      </c>
      <c r="L11">
        <v>182081</v>
      </c>
      <c r="M11">
        <f>ROUNDUP(((+L11*M$6/100)+L11+M$5),0)</f>
        <v>192405</v>
      </c>
      <c r="N11">
        <f>ROUNDUP(((+M11*N$6/100)+M11+N$5),0)-1</f>
        <v>201973</v>
      </c>
      <c r="O11">
        <f>ROUNDUP(((+N11*O$6/100)+N11+O$5),0)</f>
        <v>211742</v>
      </c>
      <c r="P11">
        <v>212186</v>
      </c>
      <c r="Q11">
        <v>232842</v>
      </c>
      <c r="R11" s="94">
        <v>242521</v>
      </c>
      <c r="S11">
        <v>251714</v>
      </c>
      <c r="T11">
        <v>260999</v>
      </c>
      <c r="U11">
        <v>270435</v>
      </c>
      <c r="V11">
        <v>279966</v>
      </c>
      <c r="W11">
        <v>289648</v>
      </c>
      <c r="X11">
        <f t="shared" si="3"/>
        <v>299428</v>
      </c>
      <c r="Y11">
        <v>309478</v>
      </c>
      <c r="Z11">
        <v>320403</v>
      </c>
    </row>
    <row r="12" spans="1:26" ht="15">
      <c r="A12" s="2">
        <f aca="true" t="shared" si="4" ref="A12:A35">+A11+1</f>
        <v>1964</v>
      </c>
      <c r="B12" s="1">
        <f aca="true" t="shared" si="5" ref="B12:C34">1+B11</f>
        <v>1989</v>
      </c>
      <c r="C12" s="1"/>
      <c r="D12">
        <v>97428</v>
      </c>
      <c r="E12">
        <f t="shared" si="0"/>
        <v>106672</v>
      </c>
      <c r="F12">
        <f t="shared" si="1"/>
        <v>115150</v>
      </c>
      <c r="G12">
        <f t="shared" si="2"/>
        <v>124221</v>
      </c>
      <c r="H12">
        <v>133517</v>
      </c>
      <c r="I12">
        <v>143220</v>
      </c>
      <c r="J12">
        <v>153524</v>
      </c>
      <c r="K12">
        <v>163160</v>
      </c>
      <c r="L12">
        <v>172989</v>
      </c>
      <c r="M12">
        <f>ROUNDUP(((+L12*M$6/100)+L12+M$5),0)</f>
        <v>183131</v>
      </c>
      <c r="N12">
        <f>ROUNDUP(((+M12*N$6/100)+M12+N$5),0)</f>
        <v>192560</v>
      </c>
      <c r="O12">
        <f>ROUNDUP(((+N12*O$6/100)+N12+O$5),0)-1</f>
        <v>202187</v>
      </c>
      <c r="P12">
        <v>212465</v>
      </c>
      <c r="Q12">
        <v>222951</v>
      </c>
      <c r="R12" s="94">
        <v>232506</v>
      </c>
      <c r="S12">
        <v>241599</v>
      </c>
      <c r="T12">
        <v>250783</v>
      </c>
      <c r="U12">
        <v>260117</v>
      </c>
      <c r="V12">
        <v>269544</v>
      </c>
      <c r="W12">
        <v>279122</v>
      </c>
      <c r="X12">
        <f t="shared" si="3"/>
        <v>288797</v>
      </c>
      <c r="Y12">
        <v>298471</v>
      </c>
      <c r="Z12">
        <v>309531</v>
      </c>
    </row>
    <row r="13" spans="1:26" ht="15">
      <c r="A13" s="2">
        <f t="shared" si="4"/>
        <v>1965</v>
      </c>
      <c r="B13" s="1">
        <f t="shared" si="5"/>
        <v>1990</v>
      </c>
      <c r="C13" s="1"/>
      <c r="D13">
        <v>90235</v>
      </c>
      <c r="E13">
        <f t="shared" si="0"/>
        <v>99245</v>
      </c>
      <c r="F13">
        <f t="shared" si="1"/>
        <v>107556</v>
      </c>
      <c r="G13">
        <f t="shared" si="2"/>
        <v>116437</v>
      </c>
      <c r="H13">
        <v>125539</v>
      </c>
      <c r="I13">
        <v>135042</v>
      </c>
      <c r="J13">
        <v>145121</v>
      </c>
      <c r="K13">
        <v>154589</v>
      </c>
      <c r="L13">
        <v>164247</v>
      </c>
      <c r="M13">
        <f>ROUNDUP(((+L13*M$6/100)+L13+M$5),0)</f>
        <v>174214</v>
      </c>
      <c r="N13">
        <f>ROUNDUP(((+M13*N$6/100)+M13+N$5),0)-1</f>
        <v>183509</v>
      </c>
      <c r="O13">
        <f>ROUNDUP(((+N13*O$6/100)+N13+O$5),0)</f>
        <v>193001</v>
      </c>
      <c r="P13">
        <v>203117</v>
      </c>
      <c r="Q13">
        <v>213440</v>
      </c>
      <c r="R13" s="94">
        <v>222876</v>
      </c>
      <c r="S13">
        <v>231873</v>
      </c>
      <c r="T13">
        <v>240959</v>
      </c>
      <c r="U13">
        <v>250195</v>
      </c>
      <c r="V13">
        <v>259523</v>
      </c>
      <c r="W13">
        <v>269001</v>
      </c>
      <c r="X13">
        <f t="shared" si="3"/>
        <v>278575</v>
      </c>
      <c r="Y13">
        <v>288416</v>
      </c>
      <c r="Z13">
        <v>299078</v>
      </c>
    </row>
    <row r="14" spans="1:26" ht="15">
      <c r="A14" s="2">
        <f t="shared" si="4"/>
        <v>1966</v>
      </c>
      <c r="B14" s="1">
        <f t="shared" si="5"/>
        <v>1991</v>
      </c>
      <c r="C14" s="1"/>
      <c r="D14">
        <v>82858</v>
      </c>
      <c r="E14">
        <f t="shared" si="0"/>
        <v>91628</v>
      </c>
      <c r="F14">
        <f t="shared" si="1"/>
        <v>99767</v>
      </c>
      <c r="G14">
        <f t="shared" si="2"/>
        <v>108454</v>
      </c>
      <c r="H14">
        <v>117356</v>
      </c>
      <c r="I14">
        <v>126655</v>
      </c>
      <c r="J14">
        <v>136503</v>
      </c>
      <c r="K14">
        <v>145799</v>
      </c>
      <c r="L14">
        <v>155281</v>
      </c>
      <c r="M14">
        <f>ROUNDUP(((+L14*M$6/100)+L14+M$5),0)-1</f>
        <v>165068</v>
      </c>
      <c r="N14">
        <f>ROUNDUP(((+M14*N$6/100)+M14+N$5),0)-1</f>
        <v>174226</v>
      </c>
      <c r="O14">
        <f>ROUNDUP(((+N14*O$6/100)+N14+O$5),0)</f>
        <v>183579</v>
      </c>
      <c r="P14">
        <v>193530</v>
      </c>
      <c r="Q14">
        <v>203685</v>
      </c>
      <c r="R14" s="94">
        <v>212999</v>
      </c>
      <c r="S14">
        <v>221897</v>
      </c>
      <c r="T14">
        <v>230884</v>
      </c>
      <c r="U14">
        <v>240019</v>
      </c>
      <c r="V14">
        <v>249245</v>
      </c>
      <c r="W14">
        <v>258621</v>
      </c>
      <c r="X14">
        <v>268090</v>
      </c>
      <c r="Y14">
        <v>277827</v>
      </c>
      <c r="Z14">
        <v>288356</v>
      </c>
    </row>
    <row r="15" spans="1:26" ht="15">
      <c r="A15" s="2">
        <f t="shared" si="4"/>
        <v>1967</v>
      </c>
      <c r="B15" s="1">
        <f t="shared" si="5"/>
        <v>1992</v>
      </c>
      <c r="C15" s="1"/>
      <c r="D15">
        <v>75764</v>
      </c>
      <c r="E15">
        <f t="shared" si="0"/>
        <v>84304</v>
      </c>
      <c r="F15">
        <f t="shared" si="1"/>
        <v>92278</v>
      </c>
      <c r="G15">
        <f t="shared" si="2"/>
        <v>100777</v>
      </c>
      <c r="H15">
        <v>109487</v>
      </c>
      <c r="I15">
        <v>118590</v>
      </c>
      <c r="J15">
        <v>128216</v>
      </c>
      <c r="K15">
        <v>137346</v>
      </c>
      <c r="L15">
        <v>146659</v>
      </c>
      <c r="M15">
        <f>ROUNDUP(((+L15*M$6/100)+L15+M$5),0)-1</f>
        <v>156274</v>
      </c>
      <c r="N15">
        <f>ROUNDUP(((+M15*N$6/100)+M15+N$5),0)-1</f>
        <v>165300</v>
      </c>
      <c r="O15">
        <f>ROUNDUP(((+N15*O$6/100)+N15+O$5),0)</f>
        <v>174519</v>
      </c>
      <c r="P15">
        <v>184312</v>
      </c>
      <c r="Q15">
        <v>194305</v>
      </c>
      <c r="R15" s="94">
        <v>203502</v>
      </c>
      <c r="S15">
        <v>212305</v>
      </c>
      <c r="T15">
        <v>221196</v>
      </c>
      <c r="U15">
        <v>230234</v>
      </c>
      <c r="V15">
        <v>239363</v>
      </c>
      <c r="W15">
        <v>248639</v>
      </c>
      <c r="X15">
        <f t="shared" si="3"/>
        <v>258009</v>
      </c>
      <c r="Y15">
        <v>267645</v>
      </c>
      <c r="Z15">
        <v>278047</v>
      </c>
    </row>
    <row r="16" spans="1:26" ht="15">
      <c r="A16" s="2">
        <f t="shared" si="4"/>
        <v>1968</v>
      </c>
      <c r="B16" s="1">
        <f t="shared" si="5"/>
        <v>1993</v>
      </c>
      <c r="C16" s="1"/>
      <c r="D16">
        <v>68090</v>
      </c>
      <c r="E16">
        <f t="shared" si="0"/>
        <v>76380</v>
      </c>
      <c r="F16">
        <f t="shared" si="1"/>
        <v>84176</v>
      </c>
      <c r="G16">
        <f t="shared" si="2"/>
        <v>92473</v>
      </c>
      <c r="H16">
        <v>100976</v>
      </c>
      <c r="I16">
        <v>109865</v>
      </c>
      <c r="J16">
        <v>119252</v>
      </c>
      <c r="K16">
        <v>128203</v>
      </c>
      <c r="L16">
        <v>137333</v>
      </c>
      <c r="M16">
        <f>ROUNDUP(((+L16*M$6/100)+L16+M$5),0)-1</f>
        <v>146761</v>
      </c>
      <c r="N16">
        <f>ROUNDUP(((+M16*N$6/100)+M16+N$5),0)</f>
        <v>155645</v>
      </c>
      <c r="O16">
        <f>ROUNDUP(((+N16*O$6/100)+N16+O$5),0)</f>
        <v>164719</v>
      </c>
      <c r="P16">
        <v>174340</v>
      </c>
      <c r="Q16">
        <v>184159</v>
      </c>
      <c r="R16" s="94">
        <v>193229</v>
      </c>
      <c r="S16">
        <v>201929</v>
      </c>
      <c r="T16">
        <v>210717</v>
      </c>
      <c r="U16">
        <v>219650</v>
      </c>
      <c r="V16">
        <v>228672</v>
      </c>
      <c r="W16">
        <v>237842</v>
      </c>
      <c r="X16">
        <f t="shared" si="3"/>
        <v>247104</v>
      </c>
      <c r="Y16">
        <v>256631</v>
      </c>
      <c r="Z16">
        <v>266895</v>
      </c>
    </row>
    <row r="17" spans="1:26" ht="15">
      <c r="A17" s="2">
        <f t="shared" si="4"/>
        <v>1969</v>
      </c>
      <c r="B17" s="1">
        <f t="shared" si="5"/>
        <v>1994</v>
      </c>
      <c r="C17" s="1"/>
      <c r="D17">
        <v>60385</v>
      </c>
      <c r="E17">
        <f t="shared" si="0"/>
        <v>68425</v>
      </c>
      <c r="F17">
        <f t="shared" si="1"/>
        <v>76042</v>
      </c>
      <c r="G17">
        <f t="shared" si="2"/>
        <v>84136</v>
      </c>
      <c r="H17">
        <v>92429</v>
      </c>
      <c r="I17">
        <v>101105</v>
      </c>
      <c r="J17">
        <v>110250</v>
      </c>
      <c r="K17">
        <v>119021</v>
      </c>
      <c r="L17">
        <v>127967</v>
      </c>
      <c r="M17">
        <f>ROUNDUP(((+L17*M$6/100)+L17+M$5),0)</f>
        <v>137209</v>
      </c>
      <c r="N17">
        <f>ROUNDUP(((+M17*N$6/100)+M17+N$5),0)-1</f>
        <v>145949</v>
      </c>
      <c r="O17">
        <f>ROUNDUP(((+N17*O$6/100)+N17+O$5),0)-1</f>
        <v>154877</v>
      </c>
      <c r="P17">
        <v>164326</v>
      </c>
      <c r="Q17">
        <v>173970</v>
      </c>
      <c r="R17" s="94">
        <v>182913</v>
      </c>
      <c r="S17">
        <v>191510</v>
      </c>
      <c r="T17">
        <v>200193</v>
      </c>
      <c r="U17">
        <v>209021</v>
      </c>
      <c r="V17">
        <v>217937</v>
      </c>
      <c r="W17">
        <v>227000</v>
      </c>
      <c r="X17">
        <f t="shared" si="3"/>
        <v>236153</v>
      </c>
      <c r="Y17">
        <v>245571</v>
      </c>
      <c r="Z17">
        <v>255696</v>
      </c>
    </row>
    <row r="18" spans="1:26" ht="15">
      <c r="A18" s="2">
        <f t="shared" si="4"/>
        <v>1970</v>
      </c>
      <c r="B18" s="1">
        <f t="shared" si="5"/>
        <v>1995</v>
      </c>
      <c r="C18" s="1"/>
      <c r="D18">
        <v>52975</v>
      </c>
      <c r="E18">
        <f t="shared" si="0"/>
        <v>60774</v>
      </c>
      <c r="F18">
        <f t="shared" si="1"/>
        <v>68219</v>
      </c>
      <c r="G18">
        <f t="shared" si="2"/>
        <v>76117</v>
      </c>
      <c r="H18">
        <v>84211</v>
      </c>
      <c r="I18">
        <v>92681</v>
      </c>
      <c r="J18">
        <v>101595</v>
      </c>
      <c r="K18">
        <v>110192</v>
      </c>
      <c r="L18">
        <v>118962</v>
      </c>
      <c r="M18">
        <f>ROUNDUP(((+L18*M$6/100)+L18+M$5),0)</f>
        <v>128024</v>
      </c>
      <c r="N18">
        <f>ROUNDUP(((+M18*N$6/100)+M18+N$5),0)-1</f>
        <v>136626</v>
      </c>
      <c r="O18">
        <f>ROUNDUP(((+N18*O$6/100)+N18+O$5),0)-1</f>
        <v>145414</v>
      </c>
      <c r="P18">
        <v>154698</v>
      </c>
      <c r="Q18">
        <v>164173</v>
      </c>
      <c r="R18" s="94">
        <v>172993</v>
      </c>
      <c r="S18">
        <v>181491</v>
      </c>
      <c r="T18">
        <v>190074</v>
      </c>
      <c r="U18">
        <v>198801</v>
      </c>
      <c r="V18">
        <v>207615</v>
      </c>
      <c r="W18">
        <v>216574</v>
      </c>
      <c r="X18">
        <f t="shared" si="3"/>
        <v>225623</v>
      </c>
      <c r="Y18">
        <v>234935</v>
      </c>
      <c r="Z18">
        <v>244928</v>
      </c>
    </row>
    <row r="19" spans="1:26" ht="15">
      <c r="A19" s="2">
        <f t="shared" si="4"/>
        <v>1971</v>
      </c>
      <c r="B19" s="1">
        <f t="shared" si="5"/>
        <v>1996</v>
      </c>
      <c r="C19" s="1"/>
      <c r="D19">
        <v>45623</v>
      </c>
      <c r="E19">
        <f t="shared" si="0"/>
        <v>53183</v>
      </c>
      <c r="F19">
        <f t="shared" si="1"/>
        <v>60457</v>
      </c>
      <c r="G19">
        <f t="shared" si="2"/>
        <v>68161</v>
      </c>
      <c r="H19">
        <v>76056</v>
      </c>
      <c r="I19">
        <v>84322</v>
      </c>
      <c r="J19">
        <v>93006</v>
      </c>
      <c r="K19">
        <v>101432</v>
      </c>
      <c r="L19">
        <v>110027</v>
      </c>
      <c r="M19">
        <f>ROUNDUP(((+L19*M$6/100)+L19+M$5),0)-1</f>
        <v>118909</v>
      </c>
      <c r="N19">
        <f>ROUNDUP(((+M19*N$6/100)+M19+N$5),0)</f>
        <v>127375</v>
      </c>
      <c r="O19">
        <f>ROUNDUP(((+N19*O$6/100)+N19+O$5),0)</f>
        <v>136025</v>
      </c>
      <c r="P19">
        <v>145144</v>
      </c>
      <c r="Q19">
        <v>154452</v>
      </c>
      <c r="R19" s="94">
        <v>163151</v>
      </c>
      <c r="S19">
        <v>171550</v>
      </c>
      <c r="T19">
        <v>180034</v>
      </c>
      <c r="U19">
        <v>188660</v>
      </c>
      <c r="V19">
        <v>197373</v>
      </c>
      <c r="W19">
        <v>206230</v>
      </c>
      <c r="X19">
        <v>215175</v>
      </c>
      <c r="Y19">
        <v>224383</v>
      </c>
      <c r="Z19">
        <v>234244</v>
      </c>
    </row>
    <row r="20" spans="1:26" ht="15">
      <c r="A20" s="2">
        <f t="shared" si="4"/>
        <v>1972</v>
      </c>
      <c r="B20" s="1">
        <f t="shared" si="5"/>
        <v>1997</v>
      </c>
      <c r="C20" s="1"/>
      <c r="D20">
        <v>38554</v>
      </c>
      <c r="E20">
        <f t="shared" si="0"/>
        <v>45885</v>
      </c>
      <c r="F20">
        <f t="shared" si="1"/>
        <v>52995</v>
      </c>
      <c r="G20">
        <f t="shared" si="2"/>
        <v>60512</v>
      </c>
      <c r="H20">
        <v>68215</v>
      </c>
      <c r="I20">
        <v>76285</v>
      </c>
      <c r="J20">
        <v>84748</v>
      </c>
      <c r="K20">
        <v>93009</v>
      </c>
      <c r="L20">
        <v>101435</v>
      </c>
      <c r="M20">
        <f>ROUNDUP(((+L20*M$6/100)+L20+M$5),0)</f>
        <v>110146</v>
      </c>
      <c r="N20">
        <f>ROUNDUP(((+M20*N$6/100)+M20+N$5),0)-1</f>
        <v>118480</v>
      </c>
      <c r="O20">
        <f>ROUNDUP(((+N20*O$6/100)+N20+O$5),0)-1</f>
        <v>126996</v>
      </c>
      <c r="P20">
        <v>135957</v>
      </c>
      <c r="Q20">
        <v>145105</v>
      </c>
      <c r="R20" s="94">
        <v>153686</v>
      </c>
      <c r="S20">
        <v>161991</v>
      </c>
      <c r="T20">
        <v>170379</v>
      </c>
      <c r="U20">
        <v>178909</v>
      </c>
      <c r="V20">
        <v>187524</v>
      </c>
      <c r="W20">
        <v>196283</v>
      </c>
      <c r="X20">
        <f t="shared" si="3"/>
        <v>205129</v>
      </c>
      <c r="Y20">
        <v>214236</v>
      </c>
      <c r="Z20">
        <v>223970</v>
      </c>
    </row>
    <row r="21" spans="1:26" ht="15">
      <c r="A21" s="2">
        <f t="shared" si="4"/>
        <v>1973</v>
      </c>
      <c r="B21" s="1">
        <f t="shared" si="5"/>
        <v>1998</v>
      </c>
      <c r="C21" s="1"/>
      <c r="D21">
        <v>31581</v>
      </c>
      <c r="E21">
        <f t="shared" si="0"/>
        <v>38685</v>
      </c>
      <c r="F21">
        <f t="shared" si="1"/>
        <v>45633</v>
      </c>
      <c r="G21">
        <f t="shared" si="2"/>
        <v>52966</v>
      </c>
      <c r="H21">
        <v>60481</v>
      </c>
      <c r="I21">
        <v>68358</v>
      </c>
      <c r="J21">
        <v>76603</v>
      </c>
      <c r="K21">
        <v>84701</v>
      </c>
      <c r="L21">
        <v>92961</v>
      </c>
      <c r="M21">
        <f>ROUNDUP(((+L21*M$6/100)+L21+M$5),0)-1</f>
        <v>101502</v>
      </c>
      <c r="N21">
        <f>ROUNDUP(((+M21*N$6/100)+M21+N$5),0)-1</f>
        <v>109706</v>
      </c>
      <c r="O21">
        <f>ROUNDUP(((+N21*O$6/100)+N21+O$5),0)</f>
        <v>118091</v>
      </c>
      <c r="P21">
        <v>126897</v>
      </c>
      <c r="Q21">
        <v>135885</v>
      </c>
      <c r="R21" s="94">
        <v>144352</v>
      </c>
      <c r="S21">
        <v>152563</v>
      </c>
      <c r="T21">
        <v>160857</v>
      </c>
      <c r="U21">
        <v>169292</v>
      </c>
      <c r="V21">
        <v>177810</v>
      </c>
      <c r="W21">
        <v>186472</v>
      </c>
      <c r="X21">
        <f t="shared" si="3"/>
        <v>195220</v>
      </c>
      <c r="Y21">
        <v>204228</v>
      </c>
      <c r="Z21">
        <v>213837</v>
      </c>
    </row>
    <row r="22" spans="1:26" ht="15">
      <c r="A22" s="2">
        <f t="shared" si="4"/>
        <v>1974</v>
      </c>
      <c r="B22" s="1">
        <f t="shared" si="5"/>
        <v>1999</v>
      </c>
      <c r="C22" s="1"/>
      <c r="D22">
        <v>24877</v>
      </c>
      <c r="E22">
        <f t="shared" si="0"/>
        <v>31763</v>
      </c>
      <c r="F22">
        <f t="shared" si="1"/>
        <v>38555</v>
      </c>
      <c r="G22">
        <f t="shared" si="2"/>
        <v>45711</v>
      </c>
      <c r="H22">
        <v>53044</v>
      </c>
      <c r="I22">
        <v>60735</v>
      </c>
      <c r="J22">
        <v>68771</v>
      </c>
      <c r="K22">
        <v>76712</v>
      </c>
      <c r="L22">
        <v>84812</v>
      </c>
      <c r="M22">
        <f>ROUNDUP(((+L22*M$6/100)+L22+M$5),0)-1</f>
        <v>93190</v>
      </c>
      <c r="N22">
        <f>ROUNDUP(((+M22*N$6/100)+M22+N$5),0)</f>
        <v>101270</v>
      </c>
      <c r="O22">
        <f>ROUNDUP(((+N22*O$6/100)+N22+O$5),0)-1</f>
        <v>109528</v>
      </c>
      <c r="P22">
        <v>118184</v>
      </c>
      <c r="Q22">
        <v>127020</v>
      </c>
      <c r="R22" s="94">
        <v>135376</v>
      </c>
      <c r="S22">
        <v>143498</v>
      </c>
      <c r="T22">
        <v>151701</v>
      </c>
      <c r="U22">
        <v>160044</v>
      </c>
      <c r="V22">
        <v>168470</v>
      </c>
      <c r="W22">
        <v>177038</v>
      </c>
      <c r="X22">
        <f t="shared" si="3"/>
        <v>185692</v>
      </c>
      <c r="Y22">
        <v>194605</v>
      </c>
      <c r="Z22">
        <v>204093</v>
      </c>
    </row>
    <row r="23" spans="1:26" ht="15">
      <c r="A23" s="2">
        <f t="shared" si="4"/>
        <v>1975</v>
      </c>
      <c r="B23" s="1">
        <f t="shared" si="5"/>
        <v>2000</v>
      </c>
      <c r="C23" s="1"/>
      <c r="D23">
        <v>18365</v>
      </c>
      <c r="E23">
        <f t="shared" si="0"/>
        <v>25039</v>
      </c>
      <c r="F23">
        <f t="shared" si="1"/>
        <v>31680</v>
      </c>
      <c r="G23">
        <f t="shared" si="2"/>
        <v>38664</v>
      </c>
      <c r="H23">
        <v>45821</v>
      </c>
      <c r="I23">
        <v>53332</v>
      </c>
      <c r="J23">
        <v>61164</v>
      </c>
      <c r="K23">
        <v>68953</v>
      </c>
      <c r="L23">
        <v>76898</v>
      </c>
      <c r="M23">
        <f>ROUNDUP(((+L23*M$6/100)+L23+M$5),0)</f>
        <v>85118</v>
      </c>
      <c r="N23">
        <f>ROUNDUP(((+M23*N$6/100)+M23+N$5),0)</f>
        <v>93077</v>
      </c>
      <c r="O23">
        <f>ROUNDUP(((+N23*O$6/100)+N23+O$5),0)-1</f>
        <v>101212</v>
      </c>
      <c r="P23">
        <v>109722</v>
      </c>
      <c r="Q23">
        <v>118410</v>
      </c>
      <c r="R23" s="94">
        <v>126658</v>
      </c>
      <c r="S23">
        <v>134693</v>
      </c>
      <c r="T23">
        <v>142808</v>
      </c>
      <c r="U23">
        <v>151062</v>
      </c>
      <c r="V23">
        <v>159399</v>
      </c>
      <c r="W23">
        <v>167876</v>
      </c>
      <c r="X23">
        <f t="shared" si="3"/>
        <v>176438</v>
      </c>
      <c r="Y23">
        <v>185258</v>
      </c>
      <c r="Z23">
        <v>194630</v>
      </c>
    </row>
    <row r="24" spans="1:26" ht="15">
      <c r="A24" s="2">
        <f t="shared" si="4"/>
        <v>1976</v>
      </c>
      <c r="B24" s="1">
        <f t="shared" si="5"/>
        <v>2001</v>
      </c>
      <c r="C24" s="1"/>
      <c r="D24">
        <v>12103</v>
      </c>
      <c r="E24">
        <f t="shared" si="0"/>
        <v>18574</v>
      </c>
      <c r="F24">
        <f t="shared" si="1"/>
        <v>25069</v>
      </c>
      <c r="G24">
        <f t="shared" si="2"/>
        <v>31888</v>
      </c>
      <c r="H24">
        <v>38876</v>
      </c>
      <c r="I24">
        <v>46213</v>
      </c>
      <c r="J24">
        <v>53849</v>
      </c>
      <c r="K24">
        <v>61492</v>
      </c>
      <c r="L24">
        <v>69288</v>
      </c>
      <c r="M24">
        <f>ROUNDUP(((+L24*M$6/100)+L24+M$5),0)</f>
        <v>77356</v>
      </c>
      <c r="N24">
        <f>ROUNDUP(((+M24*N$6/100)+M24+N$5),0)-1</f>
        <v>85198</v>
      </c>
      <c r="O24">
        <f aca="true" t="shared" si="6" ref="O24:O30">ROUNDUP(((+N24*O$6/100)+N24+O$5),0)</f>
        <v>93215</v>
      </c>
      <c r="P24">
        <v>101585</v>
      </c>
      <c r="Q24">
        <v>110131</v>
      </c>
      <c r="R24" s="94">
        <v>118276</v>
      </c>
      <c r="S24">
        <v>126227</v>
      </c>
      <c r="T24">
        <v>134257</v>
      </c>
      <c r="U24">
        <v>142425</v>
      </c>
      <c r="V24">
        <v>150676</v>
      </c>
      <c r="W24">
        <v>159066</v>
      </c>
      <c r="X24">
        <v>167539</v>
      </c>
      <c r="Y24">
        <v>176271</v>
      </c>
      <c r="Z24">
        <v>185530</v>
      </c>
    </row>
    <row r="25" spans="1:26" ht="15">
      <c r="A25" s="2">
        <f t="shared" si="4"/>
        <v>1977</v>
      </c>
      <c r="B25" s="1">
        <f t="shared" si="5"/>
        <v>2002</v>
      </c>
      <c r="C25" s="1">
        <v>4</v>
      </c>
      <c r="D25">
        <v>5933</v>
      </c>
      <c r="E25">
        <f t="shared" si="0"/>
        <v>12203</v>
      </c>
      <c r="F25">
        <f t="shared" si="1"/>
        <v>18555</v>
      </c>
      <c r="G25">
        <f t="shared" si="1"/>
        <v>25211</v>
      </c>
      <c r="H25">
        <v>32033</v>
      </c>
      <c r="I25">
        <v>39198</v>
      </c>
      <c r="J25">
        <v>46641</v>
      </c>
      <c r="K25">
        <v>54140</v>
      </c>
      <c r="L25">
        <v>61789</v>
      </c>
      <c r="M25">
        <f>ROUNDUP(((+L25*M$6/100)+L25+M$5),0)</f>
        <v>69707</v>
      </c>
      <c r="N25">
        <f>ROUNDUP(((+M25*N$6/100)+M25+N$5),0)-1</f>
        <v>77434</v>
      </c>
      <c r="O25">
        <f t="shared" si="6"/>
        <v>85335</v>
      </c>
      <c r="P25">
        <v>93567</v>
      </c>
      <c r="Q25">
        <v>101973</v>
      </c>
      <c r="R25" s="94">
        <v>110015</v>
      </c>
      <c r="S25">
        <v>117883</v>
      </c>
      <c r="T25">
        <v>125830</v>
      </c>
      <c r="U25">
        <v>133915</v>
      </c>
      <c r="V25">
        <v>142080</v>
      </c>
      <c r="W25">
        <v>150384</v>
      </c>
      <c r="X25">
        <f t="shared" si="3"/>
        <v>158771</v>
      </c>
      <c r="Y25">
        <v>167414</v>
      </c>
      <c r="Z25">
        <v>176563</v>
      </c>
    </row>
    <row r="26" spans="1:26" ht="15">
      <c r="A26" s="2">
        <f t="shared" si="4"/>
        <v>1978</v>
      </c>
      <c r="B26" s="1">
        <f t="shared" si="5"/>
        <v>2003</v>
      </c>
      <c r="C26" s="1">
        <f t="shared" si="5"/>
        <v>5</v>
      </c>
      <c r="D26" s="1"/>
      <c r="E26">
        <f t="shared" si="0"/>
        <v>6077</v>
      </c>
      <c r="F26">
        <f t="shared" si="1"/>
        <v>12291</v>
      </c>
      <c r="G26">
        <f t="shared" si="1"/>
        <v>18791</v>
      </c>
      <c r="H26">
        <v>25452</v>
      </c>
      <c r="I26">
        <v>32453</v>
      </c>
      <c r="J26">
        <v>39711</v>
      </c>
      <c r="K26">
        <v>47071</v>
      </c>
      <c r="L26">
        <v>54578</v>
      </c>
      <c r="M26">
        <f>ROUNDUP(((+L26*M$6/100)+L26+M$5),0)</f>
        <v>62352</v>
      </c>
      <c r="N26">
        <f>ROUNDUP(((+M26*N$6/100)+M26+N$5),0)-1</f>
        <v>69969</v>
      </c>
      <c r="O26">
        <f t="shared" si="6"/>
        <v>77758</v>
      </c>
      <c r="P26">
        <v>85857</v>
      </c>
      <c r="Q26">
        <v>94128</v>
      </c>
      <c r="R26" s="94">
        <v>102072</v>
      </c>
      <c r="S26">
        <v>109861</v>
      </c>
      <c r="T26">
        <v>117728</v>
      </c>
      <c r="U26">
        <v>125731</v>
      </c>
      <c r="V26">
        <v>133814</v>
      </c>
      <c r="W26">
        <v>142036</v>
      </c>
      <c r="X26">
        <v>150339</v>
      </c>
      <c r="Y26">
        <v>158899</v>
      </c>
      <c r="Z26">
        <v>167941</v>
      </c>
    </row>
    <row r="27" spans="1:26" ht="15">
      <c r="A27" s="2">
        <f t="shared" si="4"/>
        <v>1979</v>
      </c>
      <c r="B27" s="1">
        <f t="shared" si="5"/>
        <v>2004</v>
      </c>
      <c r="C27" s="1">
        <f t="shared" si="5"/>
        <v>6</v>
      </c>
      <c r="D27" s="1"/>
      <c r="F27">
        <f>+F5</f>
        <v>6077</v>
      </c>
      <c r="G27">
        <f t="shared" si="1"/>
        <v>12421</v>
      </c>
      <c r="H27">
        <v>18923</v>
      </c>
      <c r="I27">
        <v>25762</v>
      </c>
      <c r="J27">
        <v>32835</v>
      </c>
      <c r="K27">
        <v>40058</v>
      </c>
      <c r="L27">
        <v>47425</v>
      </c>
      <c r="M27">
        <f>ROUNDUP(((+L27*M$6/100)+L27+M$5),0)-1</f>
        <v>55055</v>
      </c>
      <c r="N27">
        <f>ROUNDUP(((+M27*N$6/100)+M27+N$5),0)</f>
        <v>62563</v>
      </c>
      <c r="O27">
        <f t="shared" si="6"/>
        <v>70241</v>
      </c>
      <c r="P27">
        <v>78209</v>
      </c>
      <c r="Q27">
        <v>86345</v>
      </c>
      <c r="R27" s="94">
        <v>94193</v>
      </c>
      <c r="S27">
        <v>101903</v>
      </c>
      <c r="T27">
        <v>109690</v>
      </c>
      <c r="U27">
        <v>117613</v>
      </c>
      <c r="V27">
        <v>125615</v>
      </c>
      <c r="W27">
        <v>133754</v>
      </c>
      <c r="X27">
        <f t="shared" si="3"/>
        <v>141975</v>
      </c>
      <c r="Y27">
        <v>150451</v>
      </c>
      <c r="Z27">
        <v>159387</v>
      </c>
    </row>
    <row r="28" spans="1:26" ht="15">
      <c r="A28" s="2">
        <f t="shared" si="4"/>
        <v>1980</v>
      </c>
      <c r="B28" s="1">
        <f t="shared" si="5"/>
        <v>2005</v>
      </c>
      <c r="C28" s="1">
        <f t="shared" si="5"/>
        <v>7</v>
      </c>
      <c r="D28" s="1"/>
      <c r="G28">
        <f>+G5</f>
        <v>6192</v>
      </c>
      <c r="H28">
        <v>12539</v>
      </c>
      <c r="I28">
        <v>19217</v>
      </c>
      <c r="J28">
        <v>26111</v>
      </c>
      <c r="K28">
        <v>33199</v>
      </c>
      <c r="L28">
        <v>40429</v>
      </c>
      <c r="M28">
        <f>ROUNDUP(((+L28*M$6/100)+L28+M$5),0)</f>
        <v>47920</v>
      </c>
      <c r="N28">
        <f>ROUNDUP(((+M28*N$6/100)+M28+N$5),0)-1</f>
        <v>55320</v>
      </c>
      <c r="O28">
        <f t="shared" si="6"/>
        <v>62889</v>
      </c>
      <c r="P28">
        <v>70729</v>
      </c>
      <c r="Q28">
        <v>78734</v>
      </c>
      <c r="R28" s="94">
        <v>86487</v>
      </c>
      <c r="S28">
        <v>94119</v>
      </c>
      <c r="T28">
        <v>101829</v>
      </c>
      <c r="U28">
        <v>109673</v>
      </c>
      <c r="V28">
        <v>117596</v>
      </c>
      <c r="W28">
        <v>125655</v>
      </c>
      <c r="X28">
        <f t="shared" si="3"/>
        <v>133795</v>
      </c>
      <c r="Y28">
        <v>142189</v>
      </c>
      <c r="Z28">
        <v>151022</v>
      </c>
    </row>
    <row r="29" spans="1:26" ht="15">
      <c r="A29" s="2">
        <f t="shared" si="4"/>
        <v>1981</v>
      </c>
      <c r="B29" s="1">
        <f t="shared" si="5"/>
        <v>2006</v>
      </c>
      <c r="C29" s="1">
        <f t="shared" si="5"/>
        <v>8</v>
      </c>
      <c r="D29" s="1"/>
      <c r="H29">
        <v>6192</v>
      </c>
      <c r="I29">
        <v>12711</v>
      </c>
      <c r="J29">
        <v>19425</v>
      </c>
      <c r="K29">
        <v>26380</v>
      </c>
      <c r="L29">
        <v>33474</v>
      </c>
      <c r="M29">
        <f>ROUNDUP(((+L29*M$6/100)+L29+M$5),0)</f>
        <v>40826</v>
      </c>
      <c r="N29">
        <f>ROUNDUP(((+M29*N$6/100)+M29+N$5),0)-1</f>
        <v>48120</v>
      </c>
      <c r="O29">
        <f t="shared" si="6"/>
        <v>55581</v>
      </c>
      <c r="P29">
        <v>63293</v>
      </c>
      <c r="Q29">
        <v>71169</v>
      </c>
      <c r="R29" s="94">
        <v>78826</v>
      </c>
      <c r="S29">
        <v>86382</v>
      </c>
      <c r="T29">
        <v>94014</v>
      </c>
      <c r="U29">
        <v>101780</v>
      </c>
      <c r="V29">
        <v>109624</v>
      </c>
      <c r="W29">
        <v>117604</v>
      </c>
      <c r="X29">
        <v>125663</v>
      </c>
      <c r="Y29">
        <v>133975</v>
      </c>
      <c r="Z29">
        <v>142706</v>
      </c>
    </row>
    <row r="30" spans="1:26" ht="15">
      <c r="A30" s="2">
        <f t="shared" si="4"/>
        <v>1982</v>
      </c>
      <c r="B30" s="1">
        <f t="shared" si="5"/>
        <v>2007</v>
      </c>
      <c r="C30" s="1">
        <f aca="true" t="shared" si="7" ref="C30:C35">1+C29</f>
        <v>9</v>
      </c>
      <c r="D30" s="1"/>
      <c r="I30">
        <v>6365</v>
      </c>
      <c r="J30">
        <v>12905</v>
      </c>
      <c r="K30">
        <v>19729</v>
      </c>
      <c r="L30">
        <v>26690</v>
      </c>
      <c r="M30">
        <f>ROUNDUP(((+L30*M$6/100)+L30+M$5),0)</f>
        <v>33906</v>
      </c>
      <c r="N30">
        <f>ROUNDUP(((+M30*N$6/100)+M30+N$5),0)-1</f>
        <v>41096</v>
      </c>
      <c r="O30">
        <f t="shared" si="6"/>
        <v>48452</v>
      </c>
      <c r="P30">
        <v>56038</v>
      </c>
      <c r="Q30">
        <v>63787</v>
      </c>
      <c r="R30" s="94">
        <v>71352</v>
      </c>
      <c r="S30">
        <v>78834</v>
      </c>
      <c r="T30">
        <v>86390</v>
      </c>
      <c r="U30">
        <v>94080</v>
      </c>
      <c r="V30">
        <v>101847</v>
      </c>
      <c r="W30">
        <v>109749</v>
      </c>
      <c r="X30">
        <v>117729</v>
      </c>
      <c r="Y30">
        <v>125963</v>
      </c>
      <c r="Z30">
        <v>134593</v>
      </c>
    </row>
    <row r="31" spans="1:26" ht="15">
      <c r="A31" s="2">
        <f t="shared" si="4"/>
        <v>1983</v>
      </c>
      <c r="B31" s="1">
        <f t="shared" si="5"/>
        <v>2008</v>
      </c>
      <c r="C31" s="1">
        <f t="shared" si="7"/>
        <v>10</v>
      </c>
      <c r="D31" s="1"/>
      <c r="E31" s="1"/>
      <c r="F31" s="1"/>
      <c r="G31" s="1"/>
      <c r="J31">
        <v>6365</v>
      </c>
      <c r="K31">
        <v>13058</v>
      </c>
      <c r="L31">
        <v>19885</v>
      </c>
      <c r="M31">
        <f>ROUNDUP(((+L31*M$6/100)+L31+M$5),0)</f>
        <v>26965</v>
      </c>
      <c r="N31">
        <f>ROUNDUP(((+M31*N$6/100)+M31+N$5),0)</f>
        <v>34052</v>
      </c>
      <c r="O31">
        <f>ROUNDUP(((+N31*O$6/100)+N31+O$5),0)-1</f>
        <v>41301</v>
      </c>
      <c r="P31">
        <v>48763</v>
      </c>
      <c r="Q31">
        <v>56385</v>
      </c>
      <c r="R31" s="94">
        <v>63857</v>
      </c>
      <c r="S31">
        <v>71264</v>
      </c>
      <c r="T31">
        <v>78745</v>
      </c>
      <c r="U31">
        <v>86358</v>
      </c>
      <c r="V31">
        <v>94048</v>
      </c>
      <c r="W31">
        <v>101871</v>
      </c>
      <c r="X31">
        <f t="shared" si="3"/>
        <v>109773</v>
      </c>
      <c r="Y31">
        <v>117927</v>
      </c>
      <c r="Z31">
        <v>126457</v>
      </c>
    </row>
    <row r="32" spans="1:26" ht="15">
      <c r="A32" s="2">
        <f t="shared" si="4"/>
        <v>1984</v>
      </c>
      <c r="B32" s="1">
        <f t="shared" si="5"/>
        <v>2009</v>
      </c>
      <c r="C32" s="1">
        <f t="shared" si="7"/>
        <v>11</v>
      </c>
      <c r="D32" s="1"/>
      <c r="E32" s="1"/>
      <c r="F32" s="1"/>
      <c r="G32" s="1"/>
      <c r="K32">
        <v>6566</v>
      </c>
      <c r="L32">
        <v>13263</v>
      </c>
      <c r="M32">
        <f>ROUNDUP(((+L32*M$6/100)+L32+M$5),0)</f>
        <v>20211</v>
      </c>
      <c r="N32">
        <f>ROUNDUP(((+M32*N$6/100)+M32+N$5),0)-1</f>
        <v>27196</v>
      </c>
      <c r="O32">
        <f>ROUNDUP(((+N32*O$6/100)+N32+O$5),0)</f>
        <v>34343</v>
      </c>
      <c r="P32">
        <v>41683</v>
      </c>
      <c r="Q32">
        <v>49180</v>
      </c>
      <c r="R32" s="94">
        <v>56563</v>
      </c>
      <c r="S32">
        <v>63897</v>
      </c>
      <c r="T32">
        <v>71303</v>
      </c>
      <c r="U32">
        <v>78843</v>
      </c>
      <c r="V32">
        <v>86457</v>
      </c>
      <c r="W32">
        <v>94205</v>
      </c>
      <c r="X32">
        <v>102030</v>
      </c>
      <c r="Y32">
        <v>110106</v>
      </c>
      <c r="Z32">
        <v>118539</v>
      </c>
    </row>
    <row r="33" spans="1:26" ht="15">
      <c r="A33" s="2">
        <f t="shared" si="4"/>
        <v>1985</v>
      </c>
      <c r="B33" s="1">
        <f t="shared" si="5"/>
        <v>2010</v>
      </c>
      <c r="C33" s="1">
        <f t="shared" si="7"/>
        <v>12</v>
      </c>
      <c r="D33" s="1"/>
      <c r="E33" s="1"/>
      <c r="F33" s="1"/>
      <c r="G33" s="1"/>
      <c r="L33">
        <v>6566</v>
      </c>
      <c r="M33">
        <f>ROUNDUP(((+L33*M$6/100)+L33+M$5),0)-1</f>
        <v>13379</v>
      </c>
      <c r="N33">
        <f>ROUNDUP(((+M33*N$6/100)+M33+N$5),0)</f>
        <v>20262</v>
      </c>
      <c r="O33">
        <f>ROUNDUP(((+N33*O$6/100)+N33+O$5),0)</f>
        <v>27305</v>
      </c>
      <c r="P33">
        <v>34522</v>
      </c>
      <c r="Q33">
        <v>41894</v>
      </c>
      <c r="R33" s="94">
        <v>49186</v>
      </c>
      <c r="S33">
        <v>56445</v>
      </c>
      <c r="T33">
        <v>63778</v>
      </c>
      <c r="U33">
        <v>71242</v>
      </c>
      <c r="V33">
        <v>78780</v>
      </c>
      <c r="W33">
        <v>86541</v>
      </c>
      <c r="X33">
        <v>94199</v>
      </c>
      <c r="Y33">
        <v>102197</v>
      </c>
      <c r="Z33">
        <v>110530</v>
      </c>
    </row>
    <row r="34" spans="1:26" ht="15">
      <c r="A34" s="2">
        <f t="shared" si="4"/>
        <v>1986</v>
      </c>
      <c r="B34" s="1">
        <f t="shared" si="5"/>
        <v>2011</v>
      </c>
      <c r="C34" s="1">
        <f t="shared" si="7"/>
        <v>13</v>
      </c>
      <c r="D34" s="1"/>
      <c r="E34" s="1"/>
      <c r="F34" s="1"/>
      <c r="G34" s="1"/>
      <c r="M34">
        <v>6682</v>
      </c>
      <c r="N34">
        <f>ROUNDUP(((+M34*N$6/100)+M34+N$5),0)-1</f>
        <v>13464</v>
      </c>
      <c r="O34">
        <f>ROUNDUP(((+N34*O$6/100)+N34+O$5),0)</f>
        <v>20405</v>
      </c>
      <c r="P34">
        <v>27501</v>
      </c>
      <c r="Q34">
        <v>34751</v>
      </c>
      <c r="R34" s="94">
        <v>41953</v>
      </c>
      <c r="S34">
        <v>49140</v>
      </c>
      <c r="T34">
        <v>56400</v>
      </c>
      <c r="U34">
        <v>63790</v>
      </c>
      <c r="V34">
        <v>71254</v>
      </c>
      <c r="W34">
        <v>78850</v>
      </c>
      <c r="X34">
        <v>86521</v>
      </c>
      <c r="Y34">
        <v>94442</v>
      </c>
      <c r="Z34">
        <v>102679</v>
      </c>
    </row>
    <row r="35" spans="1:26" ht="15">
      <c r="A35" s="2">
        <f t="shared" si="4"/>
        <v>1987</v>
      </c>
      <c r="B35" s="1">
        <f aca="true" t="shared" si="8" ref="B35:B40">1+B34</f>
        <v>2012</v>
      </c>
      <c r="C35" s="1">
        <f t="shared" si="7"/>
        <v>14</v>
      </c>
      <c r="D35" s="1"/>
      <c r="E35" s="1"/>
      <c r="F35" s="1"/>
      <c r="G35" s="1"/>
      <c r="N35">
        <f>ROUNDUP(((+M35*N$6/100)+M35+N$5),0)</f>
        <v>6682</v>
      </c>
      <c r="O35">
        <f>ROUNDUP(((+N35*O$6/100)+N35+O$5),0)-1</f>
        <v>13521</v>
      </c>
      <c r="P35">
        <v>20497</v>
      </c>
      <c r="Q35">
        <v>27624</v>
      </c>
      <c r="R35" s="94">
        <v>34737</v>
      </c>
      <c r="S35">
        <v>41852</v>
      </c>
      <c r="T35">
        <v>49039</v>
      </c>
      <c r="U35">
        <v>56355</v>
      </c>
      <c r="V35">
        <v>63745</v>
      </c>
      <c r="W35">
        <v>71265</v>
      </c>
      <c r="X35">
        <f t="shared" si="3"/>
        <v>78861</v>
      </c>
      <c r="Y35">
        <v>86706</v>
      </c>
      <c r="Z35">
        <v>94846</v>
      </c>
    </row>
    <row r="36" spans="1:26" ht="15">
      <c r="A36" s="2">
        <f aca="true" t="shared" si="9" ref="A36:A41">+A35+1</f>
        <v>1988</v>
      </c>
      <c r="B36" s="1">
        <f t="shared" si="8"/>
        <v>2013</v>
      </c>
      <c r="C36" s="1">
        <f aca="true" t="shared" si="10" ref="C36:C41">1+C35</f>
        <v>15</v>
      </c>
      <c r="D36" s="1"/>
      <c r="E36" s="1"/>
      <c r="F36" s="1"/>
      <c r="G36" s="1"/>
      <c r="O36">
        <f>+O5</f>
        <v>6739</v>
      </c>
      <c r="P36">
        <v>13596</v>
      </c>
      <c r="Q36">
        <v>20602</v>
      </c>
      <c r="R36" s="94">
        <v>27627</v>
      </c>
      <c r="S36">
        <v>34672</v>
      </c>
      <c r="T36">
        <v>41786</v>
      </c>
      <c r="U36">
        <v>49030</v>
      </c>
      <c r="V36">
        <v>56347</v>
      </c>
      <c r="W36">
        <v>63793</v>
      </c>
      <c r="X36">
        <f t="shared" si="3"/>
        <v>71314</v>
      </c>
      <c r="Y36">
        <v>79083</v>
      </c>
      <c r="Z36">
        <v>87128</v>
      </c>
    </row>
    <row r="37" spans="1:26" ht="15">
      <c r="A37" s="2">
        <f t="shared" si="9"/>
        <v>1989</v>
      </c>
      <c r="B37" s="1">
        <f t="shared" si="8"/>
        <v>2014</v>
      </c>
      <c r="C37" s="1">
        <f t="shared" si="10"/>
        <v>16</v>
      </c>
      <c r="D37" s="1"/>
      <c r="E37" s="1"/>
      <c r="F37" s="1"/>
      <c r="G37" s="1"/>
      <c r="P37">
        <v>6739</v>
      </c>
      <c r="Q37">
        <v>13625</v>
      </c>
      <c r="R37" s="94">
        <v>20563</v>
      </c>
      <c r="S37">
        <v>27537</v>
      </c>
      <c r="T37">
        <v>34580</v>
      </c>
      <c r="U37">
        <v>41752</v>
      </c>
      <c r="V37">
        <v>48996</v>
      </c>
      <c r="W37">
        <v>56369</v>
      </c>
      <c r="X37">
        <f t="shared" si="3"/>
        <v>63816</v>
      </c>
      <c r="Y37">
        <v>71510</v>
      </c>
      <c r="Z37">
        <v>79460</v>
      </c>
    </row>
    <row r="38" spans="1:26" ht="15">
      <c r="A38" s="2">
        <f t="shared" si="9"/>
        <v>1990</v>
      </c>
      <c r="B38" s="1">
        <f t="shared" si="8"/>
        <v>2015</v>
      </c>
      <c r="C38" s="1">
        <f t="shared" si="10"/>
        <v>17</v>
      </c>
      <c r="D38" s="1"/>
      <c r="E38" s="1"/>
      <c r="F38" s="1"/>
      <c r="G38" s="1"/>
      <c r="Q38">
        <v>6768</v>
      </c>
      <c r="R38" s="94">
        <v>13621</v>
      </c>
      <c r="S38">
        <v>20525</v>
      </c>
      <c r="T38">
        <v>27498</v>
      </c>
      <c r="U38">
        <v>34599</v>
      </c>
      <c r="V38">
        <v>41771</v>
      </c>
      <c r="W38">
        <v>49072</v>
      </c>
      <c r="X38">
        <f t="shared" si="3"/>
        <v>56446</v>
      </c>
      <c r="Y38">
        <v>64066</v>
      </c>
      <c r="Z38">
        <v>71923</v>
      </c>
    </row>
    <row r="39" spans="1:26" ht="15">
      <c r="A39" s="2">
        <f t="shared" si="9"/>
        <v>1991</v>
      </c>
      <c r="B39" s="1">
        <f t="shared" si="8"/>
        <v>2016</v>
      </c>
      <c r="C39" s="1">
        <f t="shared" si="10"/>
        <v>18</v>
      </c>
      <c r="D39" s="1"/>
      <c r="E39" s="1"/>
      <c r="F39" s="1"/>
      <c r="G39" s="1"/>
      <c r="R39" s="94">
        <v>6768</v>
      </c>
      <c r="S39">
        <v>13604</v>
      </c>
      <c r="T39">
        <v>20508</v>
      </c>
      <c r="U39">
        <v>27539</v>
      </c>
      <c r="V39">
        <v>34640</v>
      </c>
      <c r="W39">
        <v>41870</v>
      </c>
      <c r="X39">
        <f t="shared" si="3"/>
        <v>49172</v>
      </c>
      <c r="Y39">
        <v>56719</v>
      </c>
      <c r="Z39">
        <v>64484</v>
      </c>
    </row>
    <row r="40" spans="1:26" ht="15">
      <c r="A40" s="2">
        <f t="shared" si="9"/>
        <v>1992</v>
      </c>
      <c r="B40" s="1">
        <f t="shared" si="8"/>
        <v>2017</v>
      </c>
      <c r="C40" s="1">
        <f t="shared" si="10"/>
        <v>19</v>
      </c>
      <c r="D40" s="1"/>
      <c r="E40" s="1"/>
      <c r="F40" s="1"/>
      <c r="G40" s="1"/>
      <c r="R40" s="94"/>
      <c r="S40">
        <v>6768</v>
      </c>
      <c r="T40">
        <v>13604</v>
      </c>
      <c r="U40">
        <v>20566</v>
      </c>
      <c r="V40">
        <v>27597</v>
      </c>
      <c r="W40">
        <v>34757</v>
      </c>
      <c r="X40">
        <v>41987</v>
      </c>
      <c r="Y40">
        <v>49463</v>
      </c>
      <c r="Z40">
        <v>57137</v>
      </c>
    </row>
    <row r="41" spans="1:26" ht="15">
      <c r="A41" s="2">
        <f t="shared" si="9"/>
        <v>1993</v>
      </c>
      <c r="B41" s="1">
        <f>1+B40</f>
        <v>2018</v>
      </c>
      <c r="C41" s="1">
        <f t="shared" si="10"/>
        <v>20</v>
      </c>
      <c r="T41">
        <v>6768</v>
      </c>
      <c r="U41">
        <v>13662</v>
      </c>
      <c r="V41">
        <v>20624</v>
      </c>
      <c r="W41">
        <v>27714</v>
      </c>
      <c r="X41">
        <v>34874</v>
      </c>
      <c r="Y41">
        <v>42279</v>
      </c>
      <c r="Z41">
        <v>49863</v>
      </c>
    </row>
    <row r="42" spans="1:26" ht="15">
      <c r="A42" s="2">
        <f>+A41+1</f>
        <v>1994</v>
      </c>
      <c r="B42" s="1">
        <f>1+B41</f>
        <v>2019</v>
      </c>
      <c r="C42" s="1">
        <f>1+C41</f>
        <v>21</v>
      </c>
      <c r="U42">
        <v>6826</v>
      </c>
      <c r="V42">
        <v>13720</v>
      </c>
      <c r="W42">
        <v>20741</v>
      </c>
      <c r="X42">
        <v>27831</v>
      </c>
      <c r="Y42">
        <v>35166</v>
      </c>
      <c r="Z42">
        <v>42661</v>
      </c>
    </row>
    <row r="43" spans="1:26" ht="15">
      <c r="A43" s="2">
        <f>+A42+1</f>
        <v>1995</v>
      </c>
      <c r="B43" s="1">
        <f>1+B42</f>
        <v>2020</v>
      </c>
      <c r="C43" s="1">
        <f>1+C42</f>
        <v>22</v>
      </c>
      <c r="V43">
        <v>6826</v>
      </c>
      <c r="W43">
        <v>13777</v>
      </c>
      <c r="X43">
        <f t="shared" si="3"/>
        <v>20798</v>
      </c>
      <c r="Y43">
        <v>28062</v>
      </c>
      <c r="Z43">
        <v>35429</v>
      </c>
    </row>
    <row r="44" spans="1:26" ht="15">
      <c r="A44" s="2">
        <f>+A43+1</f>
        <v>1996</v>
      </c>
      <c r="B44" s="1">
        <f>1+B43</f>
        <v>2021</v>
      </c>
      <c r="C44" s="1">
        <f>1+C43</f>
        <v>23</v>
      </c>
      <c r="W44">
        <v>6883</v>
      </c>
      <c r="X44">
        <f t="shared" si="3"/>
        <v>13835</v>
      </c>
      <c r="Y44">
        <v>21030</v>
      </c>
      <c r="Z44">
        <v>28348</v>
      </c>
    </row>
    <row r="45" spans="1:26" ht="15">
      <c r="A45" s="2">
        <f>+A44+1</f>
        <v>1997</v>
      </c>
      <c r="B45" s="1">
        <f>1+B44</f>
        <v>2022</v>
      </c>
      <c r="C45" s="1">
        <f>1+C44</f>
        <v>24</v>
      </c>
      <c r="X45">
        <f t="shared" si="3"/>
        <v>6883</v>
      </c>
      <c r="Y45">
        <v>14008</v>
      </c>
      <c r="Z45">
        <v>21239</v>
      </c>
    </row>
    <row r="46" spans="1:26" ht="15">
      <c r="A46" s="2">
        <f>+A45+1</f>
        <v>1998</v>
      </c>
      <c r="B46" s="1">
        <f>1+B45</f>
        <v>2023</v>
      </c>
      <c r="C46" s="1">
        <f>1+C45</f>
        <v>25</v>
      </c>
      <c r="Y46">
        <v>7056</v>
      </c>
      <c r="Z46">
        <v>14200</v>
      </c>
    </row>
    <row r="47" ht="15">
      <c r="Z47">
        <v>7056</v>
      </c>
    </row>
  </sheetData>
  <sheetProtection/>
  <mergeCells count="1">
    <mergeCell ref="H7:M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Grivel</dc:creator>
  <cp:keywords/>
  <dc:description/>
  <cp:lastModifiedBy>Mabboux Fabrice</cp:lastModifiedBy>
  <cp:lastPrinted>2014-12-10T13:11:51Z</cp:lastPrinted>
  <dcterms:created xsi:type="dcterms:W3CDTF">2011-03-15T13:26:55Z</dcterms:created>
  <dcterms:modified xsi:type="dcterms:W3CDTF">2024-06-14T07:09:39Z</dcterms:modified>
  <cp:category/>
  <cp:version/>
  <cp:contentType/>
  <cp:contentStatus/>
</cp:coreProperties>
</file>