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abeguerieM\Desktop\"/>
    </mc:Choice>
  </mc:AlternateContent>
  <xr:revisionPtr revIDLastSave="0" documentId="13_ncr:1_{BF0FC705-D719-4A5F-9FA9-A0ABCFE9A0A2}" xr6:coauthVersionLast="47" xr6:coauthVersionMax="47" xr10:uidLastSave="{00000000-0000-0000-0000-000000000000}"/>
  <bookViews>
    <workbookView showHorizontalScroll="0" xWindow="28680" yWindow="-120" windowWidth="51840" windowHeight="21120" xr2:uid="{4BCECAC9-512D-4887-91DB-C4AAA4D8E1B0}"/>
  </bookViews>
  <sheets>
    <sheet name="Beschreibung" sheetId="5" r:id="rId1"/>
    <sheet name="Kostenrechner" sheetId="6" r:id="rId2"/>
    <sheet name="Récapitulatif financier" sheetId="2" state="hidden" r:id="rId3"/>
  </sheets>
  <definedNames>
    <definedName name="Nb_Bat">Kostenrechner!$C$6</definedName>
    <definedName name="Nb_Cla_Std">Kostenrechner!$C$9</definedName>
    <definedName name="TotalEtages">Kostenrechner!$C$7</definedName>
    <definedName name="TotalSalles">Kostenrechner!$C$11</definedName>
    <definedName name="_xlnm.Print_Area" localSheetId="0">Beschreibung!$A$1:$E$10</definedName>
    <definedName name="_xlnm.Print_Area" localSheetId="1">Kostenrechner!$A$1:$J$68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6" l="1"/>
  <c r="F29" i="6" s="1"/>
  <c r="F30" i="6"/>
  <c r="C26" i="6"/>
  <c r="I27" i="2"/>
  <c r="H27" i="2"/>
  <c r="G27" i="2"/>
  <c r="C39" i="6"/>
  <c r="D39" i="6" s="1"/>
  <c r="I39" i="6" s="1"/>
  <c r="C20" i="6"/>
  <c r="D20" i="6" s="1"/>
  <c r="I20" i="6" s="1"/>
  <c r="C25" i="6"/>
  <c r="D25" i="6" s="1"/>
  <c r="C24" i="6"/>
  <c r="C23" i="6"/>
  <c r="C22" i="6"/>
  <c r="E24" i="6"/>
  <c r="G24" i="6" s="1"/>
  <c r="E22" i="6"/>
  <c r="G22" i="6" s="1"/>
  <c r="J25" i="6"/>
  <c r="E12" i="2"/>
  <c r="E23" i="6"/>
  <c r="G23" i="6" s="1"/>
  <c r="E32" i="2"/>
  <c r="E33" i="2" s="1"/>
  <c r="E34" i="2" s="1"/>
  <c r="D32" i="2"/>
  <c r="D33" i="2" s="1"/>
  <c r="C31" i="2"/>
  <c r="C33" i="2" s="1"/>
  <c r="C34" i="2" s="1"/>
  <c r="B31" i="2"/>
  <c r="B33" i="2" s="1"/>
  <c r="E36" i="6" l="1"/>
  <c r="G36" i="6" s="1"/>
  <c r="I25" i="6"/>
  <c r="I22" i="6"/>
  <c r="I23" i="6"/>
  <c r="I24" i="6"/>
  <c r="C29" i="6"/>
  <c r="C28" i="6"/>
  <c r="C19" i="6"/>
  <c r="C34" i="6"/>
  <c r="C18" i="6"/>
  <c r="C32" i="6"/>
  <c r="C21" i="6"/>
  <c r="C33" i="6"/>
  <c r="C35" i="6"/>
  <c r="C30" i="6"/>
  <c r="C36" i="6"/>
  <c r="D26" i="6"/>
  <c r="I26" i="6" s="1"/>
  <c r="D44" i="6" s="1"/>
  <c r="C37" i="6"/>
  <c r="E21" i="6"/>
  <c r="E35" i="6"/>
  <c r="E29" i="6"/>
  <c r="G29" i="6" s="1"/>
  <c r="E33" i="6"/>
  <c r="E18" i="6"/>
  <c r="G18" i="6" s="1"/>
  <c r="E30" i="6"/>
  <c r="G30" i="6" s="1"/>
  <c r="E28" i="6"/>
  <c r="G28" i="6" s="1"/>
  <c r="F32" i="6"/>
  <c r="F23" i="6"/>
  <c r="F19" i="6"/>
  <c r="F36" i="6"/>
  <c r="F28" i="6"/>
  <c r="F21" i="6"/>
  <c r="F34" i="6"/>
  <c r="F24" i="6"/>
  <c r="F33" i="6"/>
  <c r="F37" i="6"/>
  <c r="F18" i="6"/>
  <c r="F22" i="6"/>
  <c r="F35" i="6"/>
  <c r="E32" i="6"/>
  <c r="E34" i="6"/>
  <c r="E37" i="6"/>
  <c r="E19" i="6"/>
  <c r="I36" i="6" l="1"/>
  <c r="D47" i="6"/>
  <c r="G32" i="6"/>
  <c r="I32" i="6"/>
  <c r="G35" i="6"/>
  <c r="I35" i="6"/>
  <c r="I21" i="6"/>
  <c r="G21" i="6"/>
  <c r="G19" i="6"/>
  <c r="I19" i="6"/>
  <c r="I18" i="6"/>
  <c r="G37" i="6"/>
  <c r="I37" i="6"/>
  <c r="I33" i="6"/>
  <c r="G33" i="6"/>
  <c r="G34" i="6"/>
  <c r="I34" i="6"/>
  <c r="D42" i="6" l="1"/>
  <c r="D43" i="6"/>
  <c r="D45" i="6" s="1"/>
  <c r="AQ62" i="6"/>
  <c r="AR56" i="6"/>
  <c r="AQ56" i="6"/>
  <c r="AS56" i="6"/>
  <c r="AV56" i="6"/>
  <c r="AU56" i="6"/>
  <c r="AT56" i="6"/>
  <c r="AP56" i="6" l="1"/>
  <c r="AP62" i="6"/>
  <c r="D48" i="6"/>
  <c r="AS62" i="6"/>
  <c r="AV62" i="6"/>
  <c r="AR62" i="6"/>
  <c r="AU62" i="6"/>
  <c r="AT62" i="6"/>
  <c r="AW62" i="6" l="1"/>
  <c r="AW5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Bersier Christian</author>
    <author>Thierry</author>
    <author>Timon Rimensberger</author>
  </authors>
  <commentList>
    <comment ref="B20" authorId="0" shapeId="0" xr:uid="{5CCFA357-F8F8-4D09-80F3-B96E96B3B2C4}">
      <text>
        <r>
          <rPr>
            <sz val="9"/>
            <color rgb="FF000000"/>
            <rFont val="Tahoma"/>
            <family val="2"/>
          </rPr>
          <t>nicht veränderbarer Wert definiert auf der Basis von 1 pro Gebäude mit zu verwaltenden WLAN-Antennen</t>
        </r>
      </text>
    </comment>
    <comment ref="B25" authorId="0" shapeId="0" xr:uid="{1CE9BC7F-69E4-4612-A801-BE8483959E55}">
      <text>
        <r>
          <rPr>
            <sz val="9"/>
            <color rgb="FF000000"/>
            <rFont val="Tahoma"/>
            <family val="2"/>
          </rPr>
          <t>nicht veränderbarer Wert definiert auf der Grundlage von 1 Firewall pro Internetzugang (Berechnung auf der Grundlage des SAI-Moduls "managed security")</t>
        </r>
      </text>
    </comment>
    <comment ref="B26" authorId="0" shapeId="0" xr:uid="{EB2EA1AE-29B9-4A72-8C19-BE6ECAD51A74}">
      <text>
        <r>
          <rPr>
            <sz val="9"/>
            <color rgb="FF000000"/>
            <rFont val="Tahoma"/>
            <family val="2"/>
          </rPr>
          <t>nicht veränderbarer Wert, der auf der Grundlage von 1 Kosteneinheit pro kumuliertem Stockwerk festgelegt wird</t>
        </r>
      </text>
    </comment>
    <comment ref="E28" authorId="1" shapeId="0" xr:uid="{6EC4A189-89DA-5442-AC2F-10AF0983BC61}">
      <text>
        <r>
          <rPr>
            <sz val="10"/>
            <color rgb="FF000000"/>
            <rFont val="Tahoma"/>
            <family val="2"/>
          </rPr>
          <t>Gebäudeinfrastruktur: In der Regel nicht alle 7 Jahre zu erneuern, oder in den Gebäudeunterhaltskosten enthalten.</t>
        </r>
      </text>
    </comment>
    <comment ref="B32" authorId="2" shapeId="0" xr:uid="{BD73E75C-EEAA-483C-9217-9CAF7B345F4E}">
      <text>
        <r>
          <rPr>
            <sz val="9"/>
            <color indexed="81"/>
            <rFont val="Tahoma"/>
            <family val="2"/>
          </rPr>
          <t>Nicht-interaktiv, gemäß den Empfehlungen des Aktionsplans zur Förderung der digitalen Bildung der AP-CIIP vom November 2018.</t>
        </r>
      </text>
    </comment>
    <comment ref="B39" authorId="0" shapeId="0" xr:uid="{36C997C3-1748-432B-9615-C9F33A882D72}">
      <text>
        <r>
          <rPr>
            <sz val="9"/>
            <color rgb="FF000000"/>
            <rFont val="Tahoma"/>
            <family val="2"/>
          </rPr>
          <t>nicht veränderbarer Wert definiert auf der Grundlage von 1 Gerät pro Schulgebäude (Miete ohne Druckkosten pro Blatt)</t>
        </r>
      </text>
    </comment>
  </commentList>
</comments>
</file>

<file path=xl/sharedStrings.xml><?xml version="1.0" encoding="utf-8"?>
<sst xmlns="http://schemas.openxmlformats.org/spreadsheetml/2006/main" count="178" uniqueCount="142">
  <si>
    <t>BESCHREIBUNG</t>
  </si>
  <si>
    <t>ZIEL</t>
  </si>
  <si>
    <t>Dieser Kostenrechner soll den Gemeinden helfen, die Investitions- und Wartungskosten für die IKT-Infrastruktur zu schätzen, die in den Unterrichtsräumen der Schulgebäude erforderlich sind, um die in der digitalen Bildungsstragegie  festgelegten Standard für die Regel- und Sonderschulen des Kantons Freiburgs zu erfüllen.
Die Beträge wurden auf der Grundlage von Durchschnittspreisen für Standardausrüstungen/Standardgeräte und  handelsübliche/herkömmliche Infrastrukturen berechnet. Die Gesamtsummen der jährlichen und einmaligen Kosten dienen den Gemeinden als ungefähre Angaben ohne Gewähr. 
Die anfänglichen einmaligen Gesamtkosten beziehen sich auf die Investitionskosten für die Anschaffung von Anschluss- und Peripherieelementen, während die Gesamtkosten für die Erneuerung eine Erneuerung der Geräte alle 7 Jahre vorsieht. Es ist zu beachten, dass die tatsächliche Lebensdauer der Geräte von ihrer Nutzungsdauer und ihrer Qualität abhängt.
Je nach Menge sowie Wahl der Technologie und der Lieferanten kann der tatsächliche Gesamtbetrag deutlich höher oder niedriger ausfallen. So wird beispielsweise die technologische Wahl einer interaktiven Tafel (von der die Vollversammlung der CIIP am 22. November 2018 abgeraten hat) erheblich teurer sein als ein nicht interaktiver Beamer. Die Kosten werden  auch anders ausfallen, wenn ein Wartungsvertrag mit einem IT-Partnerunternehmen der Gemeinde abgeschlossen wird oder je nach Art der Infrastrukturverwaltung usw. 
Die voraussichtlichen Kosten für Dienstleistungen von Dritten (ausserhalb des Netzwerkwartungsvertrags) und die für die Ansprechpersonen Medien &amp; Informatik erforderlichen Ressourcen sind in diesem Kostenrechner nicht enthalten. Es sollte eine Arbeitsgruppe mit Vertreterinnen und Vertretern der Gemeinden gebildet werden, um den finanziellen Aufwand für diese verschiedenen Aufgaben zu ermitteln und regelmässig neu zu überprüfen. Die Bedürfnisse variieren nämlich je nach den spezifischen Bedingungen der Schulen und ändern sich mit der technologischen Weiterentwicklung.</t>
  </si>
  <si>
    <t>WIE SIE VORGEHEN</t>
  </si>
  <si>
    <r>
      <rPr>
        <sz val="10.5"/>
        <color rgb="FF1FB7C6"/>
        <rFont val="Calibri (Corps)"/>
      </rPr>
      <t>•</t>
    </r>
    <r>
      <rPr>
        <sz val="10.5"/>
        <color theme="1"/>
        <rFont val="Calibri"/>
        <family val="2"/>
        <scheme val="minor"/>
      </rPr>
      <t xml:space="preserve"> Klicken Sie auf die Schaltfläche "Kostenrechner" in der oberen rechten Ecke.
</t>
    </r>
    <r>
      <rPr>
        <sz val="10.5"/>
        <color rgb="FF1FB7C6"/>
        <rFont val="Calibri (Corps)"/>
      </rPr>
      <t>•</t>
    </r>
    <r>
      <rPr>
        <sz val="10.5"/>
        <color theme="1"/>
        <rFont val="Calibri"/>
        <family val="2"/>
        <scheme val="minor"/>
      </rPr>
      <t xml:space="preserve"> Klicken Sie auf das zu ändernde Feld und geben Sie den neuen Wert ein; bestätigen Sie mit der &lt;Eingabetaste&gt; auf der Tastatur.
</t>
    </r>
    <r>
      <rPr>
        <sz val="10.5"/>
        <color rgb="FF1FB7C6"/>
        <rFont val="Calibri (Corps)"/>
      </rPr>
      <t xml:space="preserve">• </t>
    </r>
    <r>
      <rPr>
        <sz val="10.5"/>
        <color theme="1"/>
        <rFont val="Calibri"/>
        <family val="2"/>
        <scheme val="minor"/>
      </rPr>
      <t xml:space="preserve">Passen Sie die Anzahl der Gebäude und Stockwerke, der Standardschulzimmer und der Räume für gestalterische Aktivitäten an Ihre Situation an. Für Gebäude gilt folgende Regel: 1 Gebäude = ein einzelnes Gebäude oder mehrere Gebäude, die eine Einheit aus miteinander verbundenen Gebäuden bilden, die sich am selben Ort befinden. 
Andere Arten von Räumen wie Sporthallen, Aula, Psychologie- oder Schuldirektionsbüros, Lehrpersonenzimmer, Schulbiblitheken usw. werden in diesem Kostenrechner nicht berücksichtigt. Sie müssen von der Gemeinde je nach den örtlichen Gegebenheiten und ihrer Nutzung gesondert bewertet werden.
</t>
    </r>
    <r>
      <rPr>
        <sz val="10.5"/>
        <color rgb="FF1FB7C6"/>
        <rFont val="Calibri (Corps)"/>
      </rPr>
      <t xml:space="preserve">• </t>
    </r>
    <r>
      <rPr>
        <sz val="10.5"/>
        <color theme="1"/>
        <rFont val="Calibri"/>
        <family val="2"/>
        <scheme val="minor"/>
      </rPr>
      <t xml:space="preserve">Ändern Sie bei Räumen und Gebäuden die Anzahl der bereits vorhandenen und zu erhaltenden Ausstattung. Die Menge des Ausstattung, die unter "fehlend - zu erneuern" aufgeführt ist, wird automatisch anhand der Anzahl der Räume, Gebäude und Stockwerke berechnet.
</t>
    </r>
  </si>
  <si>
    <t>Désignation de l'équipement / l'infrastructure : informations complémentaires</t>
  </si>
  <si>
    <t>Réseau</t>
  </si>
  <si>
    <t>Système de rangement (chariot) et de charge : 1 équipement par salle : valises, chariots, armoires, etc, systèmes de recharge pour les PC, tablettes, …</t>
  </si>
  <si>
    <t>Point d'accès WiFi : 1 antenne WiFi par salle de classe</t>
  </si>
  <si>
    <t>Coût d'installation point d'accès WiFi : valeur non modifiable définie sur la base de 1 antenne WiFi à configurer et à installer par salle</t>
  </si>
  <si>
    <t>Controlleurs+licences pour gestion de antennes WiFi :  valeur non modifiable définie sur la base de 1 par bâtiments avec des antennes WiFi à gérer</t>
  </si>
  <si>
    <t>Câblage cat. 6A (tirage) : 1 câble par salle à installer et tirer dans les gaines existantes de chaque salle</t>
  </si>
  <si>
    <t xml:space="preserve">Switch d'étage : 1 switch par étage  </t>
  </si>
  <si>
    <t>Armoires réseau (switch) : 1 armoire/switch</t>
  </si>
  <si>
    <t>Connexion Internet école : 1 accès / bâtiment; calcul sur la base du produit Smart Business Connect (SBC) de Swisscom avec rabais internet à l'école de Swisscom</t>
  </si>
  <si>
    <t>Sécurité et Firewall :  valeur non modifiable définie sur la base de 1 firewall par accès Internet (calcul sur la base de l'option de sécurité spécifique pour les écoles du produit SBC de Swisscom)</t>
  </si>
  <si>
    <t>Contrat de maintenance réseau : valeur non modifiable définie sur la base de 1 unité de coûts par salle de classe</t>
  </si>
  <si>
    <t>Electricité (sans la consommation ni la maintenance)</t>
  </si>
  <si>
    <t>Prises électriques : 1 unité par salle (correspond à 2 prises 230 V)</t>
  </si>
  <si>
    <t xml:space="preserve">Fusibles (câblage) : 1 fusible pour 3 salles de classe (exigence min. 2500W) </t>
  </si>
  <si>
    <t>Tirage de câble : 1 unité par salle (câbles electriques à installer et tirer dans les canaux existants)</t>
  </si>
  <si>
    <r>
      <t xml:space="preserve">Multimédia </t>
    </r>
    <r>
      <rPr>
        <sz val="11"/>
        <color theme="1"/>
        <rFont val="Calibri"/>
        <family val="2"/>
        <scheme val="minor"/>
      </rPr>
      <t>(sans la maintenance)</t>
    </r>
  </si>
  <si>
    <t>Système de projection (incl. mise en service) : 1 équipement par salle avec connectivité sans fil (par exemple Miracast): beamer standard ou ultra courte focale; écran TV LED ou tableau blanc interactif; beamer interactif</t>
  </si>
  <si>
    <t>Système audio : 1 équipement par salle : barres son active (Bluetooth)</t>
  </si>
  <si>
    <t>Caméra de document : 1 équipement par salle</t>
  </si>
  <si>
    <t>Système de partage d'écran : 1 équipement par salle</t>
  </si>
  <si>
    <t>Câbles et petit matériel : 1 set par salle (adaptateur de câbles; câbles de réserve, casques audio avec micro, etc.)</t>
  </si>
  <si>
    <t>Caméra et micro pour enseignement à distance : 1 équipement par salle</t>
  </si>
  <si>
    <t>Système d'impression</t>
  </si>
  <si>
    <t>Imprimante/Photocopieuse/Scanneuse + OCR : valeur non modifiable définie sur la base de 1 appareil par bâtiment scolaire (location sans les coûts d'impression par feuille)</t>
  </si>
  <si>
    <t>Personnel pour le lien avec les entreprises prestataires + support niveau 0 (support de proximité)</t>
  </si>
  <si>
    <t>Correspondant informatique infrastructures (UNIQUEMENT): valeur non modifiable définie sur la base de 1 unité de coûts par bâtiment; ne comprend pas le support informatique sur les applications et les PC
Support technique de proximité : valeur non modifiable définie sur la base de 1 unité de coûts pour 5 salles de classe; support technique pour l'utilisateur (enseignant)</t>
  </si>
  <si>
    <t>KOSTENRECHNER</t>
  </si>
  <si>
    <t>Geben Sie hier einen freien Text ein (z. B. den Namen der Schule und Rechenoptionen)</t>
  </si>
  <si>
    <t>Anzahl der Gebäude</t>
  </si>
  <si>
    <t>Source des données de calcul : feuille masquée "Récapitulatif financier" du 11.8.2021</t>
  </si>
  <si>
    <t>Anzahl der kumulierten Stockwerke</t>
  </si>
  <si>
    <t>Anzahl der Standardschulzimmer</t>
  </si>
  <si>
    <t>Anzahl der Spezialzimmer (z. B. Holz und Metall)</t>
  </si>
  <si>
    <t>Summe der auszustattenden Räume</t>
  </si>
  <si>
    <t>BEZEICHNUNG DES MATERIALS / DER INFRASTRUKTUR</t>
  </si>
  <si>
    <r>
      <rPr>
        <sz val="14"/>
        <color theme="0"/>
        <rFont val="Calibri (Corps)"/>
      </rPr>
      <t>Gesamttzahl</t>
    </r>
    <r>
      <rPr>
        <sz val="11"/>
        <color theme="0"/>
        <rFont val="Calibri"/>
        <family val="2"/>
        <scheme val="minor"/>
      </rPr>
      <t xml:space="preserve">
der Schulzimmer und Gebäude</t>
    </r>
  </si>
  <si>
    <t>Coûts uniques initiaux</t>
  </si>
  <si>
    <t>Coûts uniques</t>
  </si>
  <si>
    <t>Einheiten - Gesamt</t>
  </si>
  <si>
    <t>Vorhanden - zu bewahren</t>
  </si>
  <si>
    <t>Fehlend - zu erneuern</t>
  </si>
  <si>
    <t>Coûts annuel</t>
  </si>
  <si>
    <t>Prix par salle, bâtiment ou étages cumulés</t>
  </si>
  <si>
    <t>VERBINDUNG / NETZWERK</t>
  </si>
  <si>
    <t>Aufbewahrungs- und Ladesystem (Wagen)</t>
  </si>
  <si>
    <t>U</t>
  </si>
  <si>
    <t>WLAN-Zugangspunkt + Installationskosten</t>
  </si>
  <si>
    <t>Steuerungen + Lizenzen für die Verwaltung von WLAN-Antennen (jährlich)</t>
  </si>
  <si>
    <t>A</t>
  </si>
  <si>
    <t>Verkabelung Kat. 6A (Auflage)</t>
  </si>
  <si>
    <t>Switch je Stockwerk</t>
  </si>
  <si>
    <t>Netzwerkschränke (Switch)</t>
  </si>
  <si>
    <t>Internetverbindung Schule (Kostenbasis SAI)</t>
  </si>
  <si>
    <t>Sicherheit und Firewall (jährlich)</t>
  </si>
  <si>
    <t>Wartungsvertrag Netzwerk (jährlich)</t>
  </si>
  <si>
    <t>STROM (ohne Verbrauch und Wartung)</t>
  </si>
  <si>
    <t>Steckdosen</t>
  </si>
  <si>
    <t>Sicherungen (Verkabelung)</t>
  </si>
  <si>
    <t>Kabelzug</t>
  </si>
  <si>
    <t>PERIPHERIEGERÄTE / MULTIMEDIA (ohne Wartung)</t>
  </si>
  <si>
    <t>Projektionssystem (inkl. Inbetriebnahme)</t>
  </si>
  <si>
    <t>Audiosystem</t>
  </si>
  <si>
    <t>Dokumentenkamera</t>
  </si>
  <si>
    <t>Screen-Sharing-System</t>
  </si>
  <si>
    <t>Kabel und Kleinmaterial</t>
  </si>
  <si>
    <t>Kamera und Mikrofon für Fernunterricht</t>
  </si>
  <si>
    <t>DRUCKSYSTEM</t>
  </si>
  <si>
    <t>Drucker/Fotokopierer/Scanner + OCR (jährlich)</t>
  </si>
  <si>
    <t>Ausstattung / Infrastruktur - Anfängliche Gesamtkosten (einmalig)</t>
  </si>
  <si>
    <t>Ausstattung / Infrastruktur - Gesamtkosten für die Erneuerung (alle 7 Jahre)</t>
  </si>
  <si>
    <t>Ausstattung / Infrastruktur - Jährliche Gesamtkosten (ohne Erneuerung)</t>
  </si>
  <si>
    <t>Ausstattung / Infrastruktur - Gesamtkosten alle 7 Jahre (mit Erneuerung)</t>
  </si>
  <si>
    <t>Ausstattung / Infrastruktur - Kosten pro Raum (ohne Erneuerung)</t>
  </si>
  <si>
    <t>Ausstattung / Infrastruktur - Kosten pro Raum alle 7 Jahre (mit Erneuerung)</t>
  </si>
  <si>
    <t>TOTAL</t>
  </si>
  <si>
    <t>pro Jahr zu zahlen</t>
  </si>
  <si>
    <t>Wartung
+ anfänglich</t>
  </si>
  <si>
    <t>Wartung</t>
  </si>
  <si>
    <t>Wartung
+ Erneuerung</t>
  </si>
  <si>
    <t>INFRASTRUKTUR</t>
  </si>
  <si>
    <t>MITTEL</t>
  </si>
  <si>
    <t>der jährlichen Kosten pro Raum</t>
  </si>
  <si>
    <t>Par classe</t>
  </si>
  <si>
    <t>Par bâtiment</t>
  </si>
  <si>
    <t>Remarques</t>
  </si>
  <si>
    <t>Chiffres au 11.8.2021</t>
  </si>
  <si>
    <t>Unique</t>
  </si>
  <si>
    <t>Annuels</t>
  </si>
  <si>
    <t>Système de rangement (chariot) et de charge</t>
  </si>
  <si>
    <t>à réévaluer; C3 : pas besoin parce que chargement personnel ?</t>
  </si>
  <si>
    <t>Antenne  WiFi</t>
  </si>
  <si>
    <t>1 antenne WiFi/salle de classe, prix moyen SITel</t>
  </si>
  <si>
    <t>Coût d'installation antenne WiFi</t>
  </si>
  <si>
    <t>1 Câble cat. 6A (tirage)</t>
  </si>
  <si>
    <t>Switch d'étage (24 ports) (renouvellement tous les 7 ans)</t>
  </si>
  <si>
    <t>1 port/antenne + 1 port/monitoring</t>
  </si>
  <si>
    <t>Armoires par switch (pose inclus)</t>
  </si>
  <si>
    <t>Connexion Internet école</t>
  </si>
  <si>
    <t xml:space="preserve">SBC swisscom mise en service (500.-/1000.-) </t>
  </si>
  <si>
    <t>Firewall (30 CHF/mois)</t>
  </si>
  <si>
    <t>SBC swisscom sécurité (30.-/mois) (calcul sur la base du module "managed security" de SAI)</t>
  </si>
  <si>
    <t>Contrat de maintenance réseau</t>
  </si>
  <si>
    <t>évaluation par étage cumulé</t>
  </si>
  <si>
    <t>Controlleurs WiFi+licences pour gestion de antennes</t>
  </si>
  <si>
    <t>(cantonalisation : 100k pour un système centralisé)</t>
  </si>
  <si>
    <r>
      <t xml:space="preserve">Electricité </t>
    </r>
    <r>
      <rPr>
        <sz val="11"/>
        <color theme="1"/>
        <rFont val="Calibri"/>
        <family val="2"/>
        <scheme val="minor"/>
      </rPr>
      <t>(sans la consommation ni maintenance)</t>
    </r>
  </si>
  <si>
    <t>Investissement unique prises électriques</t>
  </si>
  <si>
    <t>2 prises</t>
  </si>
  <si>
    <t>Fusibles (cablage)</t>
  </si>
  <si>
    <t>2500W/fusible</t>
  </si>
  <si>
    <t>Tirage de câble (prix/m dans tuyaux existants)</t>
  </si>
  <si>
    <t>Système de projection (incl. Mise en service)</t>
  </si>
  <si>
    <t>Coût moyen entre écrans et beamer (AOP S2 : 2860.- + 380.- montage compris)</t>
  </si>
  <si>
    <t>Système audio (barre son active) --&gt; Bluetooth</t>
  </si>
  <si>
    <t>Sound Bar Neets SB1, Barre de son Crestron SAROS SB-200-P active 2x, 20W - 400.- selon contrat-cadre S2</t>
  </si>
  <si>
    <t>Caméra de document</t>
  </si>
  <si>
    <t>Prix ELMO L-12W</t>
  </si>
  <si>
    <t>Système de partage d'écran</t>
  </si>
  <si>
    <t>AirPlay + Miracast</t>
  </si>
  <si>
    <t>Câbles et petit matériel</t>
  </si>
  <si>
    <t>Caméra et micro pour enseignement à distance</t>
  </si>
  <si>
    <t>Prix du Owl</t>
  </si>
  <si>
    <t>Offre A</t>
  </si>
  <si>
    <t>Offre B</t>
  </si>
  <si>
    <t>Moyenne</t>
  </si>
  <si>
    <t>Imprimante/Photocopieuse/Scanneuse + OCR</t>
  </si>
  <si>
    <t>Une imprimante par étage, … (selon estimation Appel d'offres des CO de Marly)</t>
  </si>
  <si>
    <t>Personnel, lien avec les entreprises prestataires + support niveau 0 (support de proximité)</t>
  </si>
  <si>
    <t>Correspondant informatique infrastructures (UNIQUEMENT)</t>
  </si>
  <si>
    <t>2.38 EPT = 1 h/mois par bâtiment, 80.-*12 (exclu la mise en place)</t>
  </si>
  <si>
    <t>Coûts totaux : (formules)</t>
  </si>
  <si>
    <t>Coût par salle de classe</t>
  </si>
  <si>
    <t xml:space="preserve">Coût par bâtiment </t>
  </si>
  <si>
    <t>Total * nombre de bâtiments et classe</t>
  </si>
  <si>
    <t>(128 communes en 2021, mais dépend de la taille de la commune)</t>
  </si>
  <si>
    <r>
      <t xml:space="preserve">Maintenance </t>
    </r>
    <r>
      <rPr>
        <b/>
        <sz val="11"/>
        <color theme="1"/>
        <rFont val="Calibri"/>
        <family val="2"/>
        <scheme val="minor"/>
      </rPr>
      <t>sur 5 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</si>
</sst>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CHF&quot;_-;\-* #,##0.00\ &quot;CHF&quot;_-;_-* &quot;-&quot;??\ &quot;CHF&quot;_-;_-@_-"/>
    <numFmt numFmtId="43" formatCode="_-* #,##0.00_-;\-* #,##0.00_-;_-* &quot;-&quot;??_-;_-@_-"/>
    <numFmt numFmtId="164" formatCode="_-* #,##0_-;\-* #,##0_-;_-* &quot;-&quot;??_-;_-@_-"/>
    <numFmt numFmtId="165" formatCode="#,##0.00\ &quot;CHF&quot;"/>
    <numFmt numFmtId="166" formatCode="_-* #,##0.00\ [$CHF-100C]_-;\-* #,##0.00\ [$CHF-100C]_-;_-* &quot;-&quot;??\ [$CHF-100C]_-;_-@_-"/>
    <numFmt numFmtId="167" formatCode="##0&quot; bâtiment(s)&quot;"/>
    <numFmt numFmtId="168" formatCode="_-* #,##0\ [$CHF-100C]_-;\-* #,##0\ [$CHF-100C]_-;_-* &quot;-&quot;??\ [$CHF-100C]_-;_-@_-"/>
  </numFmts>
  <fonts count="24">
    <font>
      <sz val="11"/>
      <color theme="1"/>
      <name val="Calibri"/>
      <family val="2"/>
      <scheme val="minor"/>
    </font>
    <font>
      <sz val="11"/>
      <color theme="1"/>
      <name val="Calibri"/>
      <family val="2"/>
      <scheme val="minor"/>
    </font>
    <font>
      <b/>
      <sz val="15"/>
      <color theme="3"/>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color theme="0"/>
      <name val="Calibri"/>
      <family val="2"/>
      <scheme val="minor"/>
    </font>
    <font>
      <sz val="15"/>
      <color theme="0"/>
      <name val="Calibri (Corps)"/>
    </font>
    <font>
      <sz val="14"/>
      <color theme="0"/>
      <name val="Calibri (Corps)"/>
    </font>
    <font>
      <sz val="9"/>
      <color rgb="FF000000"/>
      <name val="Tahoma"/>
      <family val="2"/>
    </font>
    <font>
      <sz val="14"/>
      <color theme="0"/>
      <name val="Calibri"/>
      <family val="2"/>
      <scheme val="minor"/>
    </font>
    <font>
      <sz val="11"/>
      <color theme="0"/>
      <name val="Calibri (Corps)"/>
    </font>
    <font>
      <b/>
      <sz val="11"/>
      <color theme="0"/>
      <name val="Calibri"/>
      <family val="2"/>
      <scheme val="minor"/>
    </font>
    <font>
      <b/>
      <sz val="11"/>
      <color theme="3"/>
      <name val="Calibri"/>
      <family val="2"/>
      <scheme val="minor"/>
    </font>
    <font>
      <sz val="11"/>
      <name val="Calibri"/>
      <family val="2"/>
      <scheme val="minor"/>
    </font>
    <font>
      <sz val="11"/>
      <name val="Calibri (Corps)"/>
    </font>
    <font>
      <sz val="10"/>
      <color rgb="FF000000"/>
      <name val="Tahoma"/>
      <family val="2"/>
    </font>
    <font>
      <sz val="11"/>
      <color theme="0"/>
      <name val="Calibri"/>
      <family val="2"/>
    </font>
    <font>
      <sz val="11"/>
      <color rgb="FFFFFFFF"/>
      <name val="Calibri"/>
      <family val="2"/>
    </font>
    <font>
      <sz val="9"/>
      <color indexed="81"/>
      <name val="Tahoma"/>
      <family val="2"/>
    </font>
    <font>
      <sz val="8"/>
      <color theme="0"/>
      <name val="Calibri"/>
      <family val="2"/>
      <scheme val="minor"/>
    </font>
    <font>
      <sz val="10.5"/>
      <color rgb="FF1FB7C6"/>
      <name val="Calibri (Corps)"/>
    </font>
    <font>
      <sz val="10.5"/>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2"/>
        <bgColor indexed="64"/>
      </patternFill>
    </fill>
    <fill>
      <patternFill patternType="solid">
        <fgColor theme="8"/>
      </patternFill>
    </fill>
    <fill>
      <patternFill patternType="solid">
        <fgColor theme="8" tint="0.39997558519241921"/>
        <bgColor indexed="65"/>
      </patternFill>
    </fill>
    <fill>
      <patternFill patternType="solid">
        <fgColor rgb="FF363A42"/>
        <bgColor indexed="64"/>
      </patternFill>
    </fill>
    <fill>
      <patternFill patternType="solid">
        <fgColor rgb="FF1FB7C6"/>
        <bgColor indexed="64"/>
      </patternFill>
    </fill>
    <fill>
      <patternFill patternType="solid">
        <fgColor rgb="FFE7E6E6"/>
        <bgColor indexed="64"/>
      </patternFill>
    </fill>
    <fill>
      <patternFill patternType="solid">
        <fgColor rgb="FFE7FAFC"/>
        <bgColor indexed="64"/>
      </patternFill>
    </fill>
    <fill>
      <patternFill patternType="solid">
        <fgColor rgb="FFE1E3E6"/>
        <bgColor indexed="64"/>
      </patternFill>
    </fill>
  </fills>
  <borders count="60">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bottom style="thin">
        <color rgb="FF363A42"/>
      </bottom>
      <diagonal/>
    </border>
    <border>
      <left style="thin">
        <color rgb="FF363A42"/>
      </left>
      <right style="thin">
        <color rgb="FF363A42"/>
      </right>
      <top style="thin">
        <color rgb="FF363A42"/>
      </top>
      <bottom style="thin">
        <color rgb="FF363A42"/>
      </bottom>
      <diagonal/>
    </border>
    <border>
      <left style="thin">
        <color rgb="FF363A42"/>
      </left>
      <right style="thin">
        <color rgb="FF363A42"/>
      </right>
      <top style="thin">
        <color rgb="FF363A42"/>
      </top>
      <bottom/>
      <diagonal/>
    </border>
    <border>
      <left style="thin">
        <color rgb="FF363A42"/>
      </left>
      <right style="thin">
        <color rgb="FF363A42"/>
      </right>
      <top/>
      <bottom style="thin">
        <color rgb="FF363A42"/>
      </bottom>
      <diagonal/>
    </border>
    <border>
      <left/>
      <right style="thin">
        <color rgb="FFFFFF00"/>
      </right>
      <top/>
      <bottom/>
      <diagonal/>
    </border>
    <border>
      <left style="thin">
        <color rgb="FF363A42"/>
      </left>
      <right style="thin">
        <color rgb="FF363A42"/>
      </right>
      <top/>
      <bottom/>
      <diagonal/>
    </border>
    <border>
      <left/>
      <right style="thin">
        <color rgb="FF363A42"/>
      </right>
      <top/>
      <bottom/>
      <diagonal/>
    </border>
    <border>
      <left style="thin">
        <color rgb="FF363A42"/>
      </left>
      <right/>
      <top/>
      <bottom style="thin">
        <color rgb="FF363A42"/>
      </bottom>
      <diagonal/>
    </border>
    <border>
      <left/>
      <right style="thin">
        <color rgb="FF363A42"/>
      </right>
      <top/>
      <bottom style="thin">
        <color rgb="FF363A42"/>
      </bottom>
      <diagonal/>
    </border>
    <border>
      <left/>
      <right style="thin">
        <color rgb="FF363A42"/>
      </right>
      <top style="thin">
        <color rgb="FF363A42"/>
      </top>
      <bottom style="thin">
        <color rgb="FF363A42"/>
      </bottom>
      <diagonal/>
    </border>
    <border>
      <left style="thin">
        <color rgb="FF363A42"/>
      </left>
      <right style="thin">
        <color rgb="FF363A42"/>
      </right>
      <top style="thin">
        <color indexed="64"/>
      </top>
      <bottom/>
      <diagonal/>
    </border>
    <border>
      <left style="thin">
        <color rgb="FF363A42"/>
      </left>
      <right/>
      <top style="thin">
        <color rgb="FF363A42"/>
      </top>
      <bottom style="thin">
        <color indexed="64"/>
      </bottom>
      <diagonal/>
    </border>
    <border>
      <left/>
      <right/>
      <top style="thin">
        <color rgb="FF363A42"/>
      </top>
      <bottom style="thin">
        <color indexed="64"/>
      </bottom>
      <diagonal/>
    </border>
    <border>
      <left/>
      <right style="thin">
        <color rgb="FF363A42"/>
      </right>
      <top style="thin">
        <color rgb="FF363A42"/>
      </top>
      <bottom style="thin">
        <color indexed="64"/>
      </bottom>
      <diagonal/>
    </border>
    <border>
      <left style="thin">
        <color rgb="FF363A42"/>
      </left>
      <right/>
      <top style="thin">
        <color rgb="FF363A42"/>
      </top>
      <bottom/>
      <diagonal/>
    </border>
    <border>
      <left/>
      <right/>
      <top style="thin">
        <color rgb="FF363A42"/>
      </top>
      <bottom/>
      <diagonal/>
    </border>
    <border>
      <left/>
      <right style="thin">
        <color rgb="FF363A42"/>
      </right>
      <top style="thin">
        <color rgb="FF363A42"/>
      </top>
      <bottom/>
      <diagonal/>
    </border>
    <border>
      <left/>
      <right/>
      <top/>
      <bottom style="medium">
        <color theme="4" tint="0.39997558519241921"/>
      </bottom>
      <diagonal/>
    </border>
    <border>
      <left style="medium">
        <color indexed="64"/>
      </left>
      <right style="medium">
        <color indexed="64"/>
      </right>
      <top/>
      <bottom style="thick">
        <color theme="4"/>
      </bottom>
      <diagonal/>
    </border>
    <border>
      <left style="medium">
        <color indexed="64"/>
      </left>
      <right style="medium">
        <color indexed="64"/>
      </right>
      <top/>
      <bottom style="medium">
        <color theme="4" tint="0.3999755851924192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363A42"/>
      </left>
      <right/>
      <top/>
      <bottom/>
      <diagonal/>
    </border>
    <border>
      <left style="thin">
        <color rgb="FF363A42"/>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363A42"/>
      </left>
      <right/>
      <top/>
      <bottom style="thin">
        <color theme="0" tint="-0.24994659260841701"/>
      </bottom>
      <diagonal/>
    </border>
    <border>
      <left style="thin">
        <color rgb="FF363A42"/>
      </left>
      <right/>
      <top style="thin">
        <color theme="0" tint="-0.24994659260841701"/>
      </top>
      <bottom style="thin">
        <color theme="0" tint="-0.24994659260841701"/>
      </bottom>
      <diagonal/>
    </border>
    <border>
      <left style="thin">
        <color indexed="64"/>
      </left>
      <right style="thin">
        <color theme="0" tint="-0.24994659260841701"/>
      </right>
      <top style="thin">
        <color indexed="64"/>
      </top>
      <bottom/>
      <diagonal/>
    </border>
    <border>
      <left style="thin">
        <color theme="0" tint="-0.24994659260841701"/>
      </left>
      <right style="thin">
        <color rgb="FF363A42"/>
      </right>
      <top style="thin">
        <color indexed="64"/>
      </top>
      <bottom/>
      <diagonal/>
    </border>
    <border>
      <left style="thin">
        <color indexed="64"/>
      </left>
      <right style="thin">
        <color theme="0" tint="-0.24994659260841701"/>
      </right>
      <top/>
      <bottom/>
      <diagonal/>
    </border>
    <border>
      <left style="thin">
        <color theme="0" tint="-0.24994659260841701"/>
      </left>
      <right style="thin">
        <color rgb="FF363A42"/>
      </right>
      <top/>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rgb="FF363A42"/>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rgb="FF363A42"/>
      </right>
      <top style="thin">
        <color theme="0" tint="-0.24994659260841701"/>
      </top>
      <bottom style="thin">
        <color theme="0" tint="-0.24994659260841701"/>
      </bottom>
      <diagonal/>
    </border>
    <border>
      <left style="thin">
        <color theme="0" tint="-0.24994659260841701"/>
      </left>
      <right style="thin">
        <color rgb="FF363A42"/>
      </right>
      <top/>
      <bottom style="thin">
        <color rgb="FF363A42"/>
      </bottom>
      <diagonal/>
    </border>
    <border>
      <left style="thin">
        <color rgb="FF363A42"/>
      </left>
      <right/>
      <top style="thin">
        <color theme="0"/>
      </top>
      <bottom style="thin">
        <color theme="0" tint="-0.24994659260841701"/>
      </bottom>
      <diagonal/>
    </border>
    <border>
      <left style="thin">
        <color indexed="64"/>
      </left>
      <right style="thin">
        <color theme="0" tint="-0.24994659260841701"/>
      </right>
      <top style="thin">
        <color theme="0"/>
      </top>
      <bottom style="thin">
        <color theme="0" tint="-0.24994659260841701"/>
      </bottom>
      <diagonal/>
    </border>
    <border>
      <left style="thin">
        <color theme="0" tint="-0.24994659260841701"/>
      </left>
      <right style="thin">
        <color rgb="FF363A42"/>
      </right>
      <top style="thin">
        <color theme="0"/>
      </top>
      <bottom style="thin">
        <color theme="0" tint="-0.24994659260841701"/>
      </bottom>
      <diagonal/>
    </border>
    <border>
      <left style="thin">
        <color rgb="FF363A42"/>
      </left>
      <right style="thin">
        <color rgb="FF363A42"/>
      </right>
      <top style="thin">
        <color theme="0"/>
      </top>
      <bottom style="thin">
        <color theme="0"/>
      </bottom>
      <diagonal/>
    </border>
    <border>
      <left style="thin">
        <color rgb="FF363A42"/>
      </left>
      <right/>
      <top style="thin">
        <color theme="0" tint="-0.24994659260841701"/>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rgb="FF363A42"/>
      </right>
      <top style="thin">
        <color theme="0" tint="-0.24994659260841701"/>
      </top>
      <bottom/>
      <diagonal/>
    </border>
    <border>
      <left style="thin">
        <color rgb="FF363A42"/>
      </left>
      <right/>
      <top style="thin">
        <color theme="0"/>
      </top>
      <bottom style="thin">
        <color theme="0"/>
      </bottom>
      <diagonal/>
    </border>
    <border>
      <left style="thin">
        <color indexed="64"/>
      </left>
      <right style="thin">
        <color theme="0" tint="-0.24994659260841701"/>
      </right>
      <top style="thin">
        <color theme="0"/>
      </top>
      <bottom style="thin">
        <color theme="0"/>
      </bottom>
      <diagonal/>
    </border>
    <border>
      <left style="thin">
        <color theme="0" tint="-0.24994659260841701"/>
      </left>
      <right style="thin">
        <color rgb="FF363A42"/>
      </right>
      <top style="thin">
        <color theme="0"/>
      </top>
      <bottom style="thin">
        <color theme="0"/>
      </bottom>
      <diagonal/>
    </border>
    <border>
      <left style="thin">
        <color rgb="FF363A42"/>
      </left>
      <right/>
      <top style="thin">
        <color theme="0"/>
      </top>
      <bottom/>
      <diagonal/>
    </border>
    <border>
      <left style="thin">
        <color indexed="64"/>
      </left>
      <right style="thin">
        <color theme="0" tint="-0.24994659260841701"/>
      </right>
      <top style="thin">
        <color theme="0"/>
      </top>
      <bottom/>
      <diagonal/>
    </border>
    <border>
      <left style="thin">
        <color theme="0" tint="-0.24994659260841701"/>
      </left>
      <right style="thin">
        <color rgb="FF363A42"/>
      </right>
      <top style="thin">
        <color theme="0"/>
      </top>
      <bottom/>
      <diagonal/>
    </border>
    <border>
      <left style="thin">
        <color rgb="FF363A42"/>
      </left>
      <right/>
      <top style="thin">
        <color theme="0" tint="-0.24994659260841701"/>
      </top>
      <bottom style="thin">
        <color theme="0"/>
      </bottom>
      <diagonal/>
    </border>
    <border>
      <left style="thin">
        <color indexed="64"/>
      </left>
      <right style="thin">
        <color theme="0" tint="-0.24994659260841701"/>
      </right>
      <top style="thin">
        <color theme="0" tint="-0.24994659260841701"/>
      </top>
      <bottom style="thin">
        <color theme="0"/>
      </bottom>
      <diagonal/>
    </border>
    <border>
      <left style="thin">
        <color theme="0" tint="-0.24994659260841701"/>
      </left>
      <right style="thin">
        <color rgb="FF363A42"/>
      </right>
      <top style="thin">
        <color theme="0" tint="-0.24994659260841701"/>
      </top>
      <bottom style="thin">
        <color theme="0"/>
      </bottom>
      <diagonal/>
    </border>
    <border>
      <left style="thin">
        <color indexed="64"/>
      </left>
      <right style="thin">
        <color theme="0" tint="-0.24994659260841701"/>
      </right>
      <top/>
      <bottom style="thin">
        <color rgb="FF363A42"/>
      </bottom>
      <diagonal/>
    </border>
    <border>
      <left style="thin">
        <color rgb="FF363A42"/>
      </left>
      <right style="thin">
        <color indexed="64"/>
      </right>
      <top/>
      <bottom style="thin">
        <color rgb="FF363A42"/>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1" applyNumberFormat="0" applyFill="0" applyAlignment="0" applyProtection="0"/>
    <xf numFmtId="0" fontId="6" fillId="0" borderId="0" applyNumberFormat="0" applyFill="0" applyBorder="0" applyAlignment="0" applyProtection="0"/>
    <xf numFmtId="0" fontId="7" fillId="6" borderId="0" applyNumberFormat="0" applyBorder="0" applyAlignment="0" applyProtection="0"/>
    <xf numFmtId="0" fontId="1" fillId="7" borderId="0" applyNumberFormat="0" applyBorder="0" applyAlignment="0" applyProtection="0"/>
    <xf numFmtId="0" fontId="14" fillId="0" borderId="20" applyNumberFormat="0" applyFill="0" applyAlignment="0" applyProtection="0"/>
  </cellStyleXfs>
  <cellXfs count="180">
    <xf numFmtId="0" fontId="0" fillId="0" borderId="0" xfId="0"/>
    <xf numFmtId="0" fontId="0" fillId="2" borderId="0" xfId="0" applyFill="1" applyAlignment="1">
      <alignment horizontal="center"/>
    </xf>
    <xf numFmtId="0" fontId="0" fillId="3" borderId="0" xfId="0" applyFill="1" applyAlignment="1">
      <alignment horizontal="center"/>
    </xf>
    <xf numFmtId="0" fontId="0" fillId="0" borderId="0" xfId="0" applyAlignment="1">
      <alignment horizontal="left"/>
    </xf>
    <xf numFmtId="0" fontId="0" fillId="2" borderId="0" xfId="0" applyFill="1"/>
    <xf numFmtId="0" fontId="0" fillId="3" borderId="0" xfId="0" applyFill="1"/>
    <xf numFmtId="0" fontId="4" fillId="4" borderId="0" xfId="0" applyFont="1" applyFill="1"/>
    <xf numFmtId="0" fontId="0" fillId="4" borderId="0" xfId="0" applyFill="1"/>
    <xf numFmtId="0" fontId="0" fillId="4" borderId="0" xfId="0" applyFill="1" applyAlignment="1">
      <alignment horizontal="left"/>
    </xf>
    <xf numFmtId="0" fontId="0" fillId="0" borderId="0" xfId="0" applyAlignment="1">
      <alignment wrapText="1"/>
    </xf>
    <xf numFmtId="164" fontId="0" fillId="0" borderId="0" xfId="1" applyNumberFormat="1" applyFont="1" applyAlignment="1">
      <alignment horizontal="right"/>
    </xf>
    <xf numFmtId="164" fontId="0" fillId="0" borderId="0" xfId="1" applyNumberFormat="1" applyFont="1" applyFill="1"/>
    <xf numFmtId="164" fontId="0" fillId="0" borderId="0" xfId="1" applyNumberFormat="1" applyFont="1" applyAlignment="1">
      <alignment horizontal="right" wrapText="1"/>
    </xf>
    <xf numFmtId="164" fontId="0" fillId="4" borderId="0" xfId="1" applyNumberFormat="1" applyFont="1" applyFill="1" applyAlignment="1">
      <alignment horizontal="right"/>
    </xf>
    <xf numFmtId="164" fontId="0" fillId="0" borderId="0" xfId="1" quotePrefix="1" applyNumberFormat="1" applyFont="1" applyAlignment="1">
      <alignment horizontal="right"/>
    </xf>
    <xf numFmtId="44" fontId="0" fillId="0" borderId="0" xfId="0" applyNumberFormat="1" applyAlignment="1">
      <alignment horizontal="left"/>
    </xf>
    <xf numFmtId="164" fontId="0" fillId="0" borderId="0" xfId="1" applyNumberFormat="1" applyFont="1"/>
    <xf numFmtId="164" fontId="0" fillId="4" borderId="0" xfId="1" applyNumberFormat="1" applyFont="1" applyFill="1" applyAlignment="1">
      <alignment horizontal="right" wrapText="1"/>
    </xf>
    <xf numFmtId="164" fontId="0" fillId="0" borderId="0" xfId="1" applyNumberFormat="1" applyFont="1" applyFill="1" applyAlignment="1">
      <alignment horizontal="right"/>
    </xf>
    <xf numFmtId="0" fontId="4" fillId="0" borderId="0" xfId="0" applyFont="1"/>
    <xf numFmtId="164" fontId="4" fillId="0" borderId="0" xfId="1" applyNumberFormat="1" applyFont="1" applyAlignment="1">
      <alignment horizontal="right"/>
    </xf>
    <xf numFmtId="0" fontId="0" fillId="0" borderId="0" xfId="0" applyAlignment="1">
      <alignment horizontal="right"/>
    </xf>
    <xf numFmtId="0" fontId="0" fillId="0" borderId="0" xfId="0" applyAlignment="1">
      <alignment vertical="top"/>
    </xf>
    <xf numFmtId="0" fontId="5" fillId="0" borderId="0" xfId="0" applyFont="1" applyAlignment="1">
      <alignment vertical="top"/>
    </xf>
    <xf numFmtId="0" fontId="0" fillId="0" borderId="0" xfId="0" applyAlignment="1">
      <alignment vertical="top" wrapText="1"/>
    </xf>
    <xf numFmtId="0" fontId="0" fillId="5" borderId="0" xfId="0" applyFill="1"/>
    <xf numFmtId="0" fontId="0" fillId="0" borderId="0" xfId="0" applyAlignment="1">
      <alignment horizontal="center"/>
    </xf>
    <xf numFmtId="0" fontId="4" fillId="2" borderId="0" xfId="0" applyFont="1" applyFill="1"/>
    <xf numFmtId="0" fontId="4" fillId="3" borderId="0" xfId="0" applyFont="1" applyFill="1"/>
    <xf numFmtId="0" fontId="0" fillId="5" borderId="0" xfId="0" applyFill="1" applyAlignment="1">
      <alignment horizontal="center"/>
    </xf>
    <xf numFmtId="0" fontId="0" fillId="5" borderId="0" xfId="0" applyFill="1" applyAlignment="1">
      <alignment wrapText="1"/>
    </xf>
    <xf numFmtId="168" fontId="4" fillId="5" borderId="2" xfId="0" applyNumberFormat="1" applyFont="1" applyFill="1" applyBorder="1" applyAlignment="1">
      <alignment horizontal="right"/>
    </xf>
    <xf numFmtId="168" fontId="0" fillId="5" borderId="0" xfId="0" applyNumberFormat="1" applyFill="1" applyAlignment="1">
      <alignment horizontal="center"/>
    </xf>
    <xf numFmtId="0" fontId="6" fillId="0" borderId="0" xfId="4"/>
    <xf numFmtId="0" fontId="0" fillId="8" borderId="0" xfId="0" applyFill="1" applyAlignment="1">
      <alignment vertical="center"/>
    </xf>
    <xf numFmtId="0" fontId="6" fillId="8" borderId="0" xfId="4" applyFill="1" applyAlignment="1">
      <alignment horizontal="center" vertical="center"/>
    </xf>
    <xf numFmtId="0" fontId="0" fillId="8" borderId="0" xfId="0" applyFill="1" applyAlignment="1">
      <alignment horizontal="center" vertical="center"/>
    </xf>
    <xf numFmtId="0" fontId="0" fillId="0" borderId="0" xfId="0" applyAlignment="1">
      <alignment vertical="center"/>
    </xf>
    <xf numFmtId="0" fontId="8" fillId="8" borderId="0" xfId="3" applyFont="1" applyFill="1" applyBorder="1" applyAlignment="1">
      <alignment vertical="center"/>
    </xf>
    <xf numFmtId="0" fontId="0" fillId="9" borderId="0" xfId="0" applyFill="1"/>
    <xf numFmtId="0" fontId="0" fillId="9" borderId="0" xfId="0" applyFill="1" applyAlignment="1">
      <alignment horizontal="center"/>
    </xf>
    <xf numFmtId="0" fontId="0" fillId="10" borderId="0" xfId="0" applyFill="1" applyAlignment="1">
      <alignment vertical="center"/>
    </xf>
    <xf numFmtId="0" fontId="0" fillId="0" borderId="5" xfId="0" applyBorder="1"/>
    <xf numFmtId="0" fontId="0" fillId="0" borderId="6" xfId="0" applyBorder="1"/>
    <xf numFmtId="0" fontId="0" fillId="0" borderId="7" xfId="0" applyBorder="1"/>
    <xf numFmtId="0" fontId="0" fillId="11" borderId="8" xfId="0" applyFill="1" applyBorder="1" applyAlignment="1">
      <alignment horizontal="left" vertical="top" indent="2"/>
    </xf>
    <xf numFmtId="0" fontId="0" fillId="11" borderId="8" xfId="0" applyFill="1" applyBorder="1" applyAlignment="1">
      <alignment horizontal="left" wrapText="1" indent="2"/>
    </xf>
    <xf numFmtId="0" fontId="0" fillId="11" borderId="8" xfId="0" applyFill="1" applyBorder="1" applyAlignment="1">
      <alignment horizontal="left" indent="2"/>
    </xf>
    <xf numFmtId="0" fontId="0" fillId="11" borderId="8" xfId="0" applyFill="1" applyBorder="1" applyAlignment="1">
      <alignment horizontal="left" vertical="top" wrapText="1" indent="2"/>
    </xf>
    <xf numFmtId="0" fontId="0" fillId="11" borderId="6" xfId="0" applyFill="1" applyBorder="1" applyAlignment="1">
      <alignment horizontal="left" indent="2"/>
    </xf>
    <xf numFmtId="0" fontId="0" fillId="12" borderId="0" xfId="0" applyFill="1"/>
    <xf numFmtId="0" fontId="0" fillId="12" borderId="0" xfId="0" applyFill="1" applyAlignment="1">
      <alignment horizontal="right"/>
    </xf>
    <xf numFmtId="0" fontId="4" fillId="12" borderId="0" xfId="0" applyFont="1" applyFill="1" applyAlignment="1">
      <alignment horizontal="right"/>
    </xf>
    <xf numFmtId="0" fontId="0" fillId="12" borderId="0" xfId="0" applyFill="1" applyAlignment="1">
      <alignment horizontal="center"/>
    </xf>
    <xf numFmtId="167" fontId="0" fillId="12" borderId="0" xfId="0" applyNumberFormat="1" applyFill="1" applyAlignment="1">
      <alignment horizontal="center"/>
    </xf>
    <xf numFmtId="0" fontId="0" fillId="12" borderId="9" xfId="0" applyFill="1" applyBorder="1"/>
    <xf numFmtId="0" fontId="11" fillId="11" borderId="8" xfId="5" applyFont="1" applyFill="1" applyBorder="1" applyAlignment="1">
      <alignment horizontal="center" vertical="center"/>
    </xf>
    <xf numFmtId="0" fontId="7" fillId="9" borderId="5" xfId="5" applyFill="1" applyBorder="1" applyAlignment="1">
      <alignment horizontal="center"/>
    </xf>
    <xf numFmtId="168" fontId="4" fillId="12" borderId="3" xfId="0" applyNumberFormat="1" applyFont="1" applyFill="1" applyBorder="1"/>
    <xf numFmtId="168" fontId="4" fillId="12" borderId="11" xfId="0" applyNumberFormat="1" applyFont="1" applyFill="1" applyBorder="1"/>
    <xf numFmtId="168" fontId="4" fillId="12" borderId="4" xfId="0" applyNumberFormat="1" applyFont="1" applyFill="1" applyBorder="1"/>
    <xf numFmtId="0" fontId="4" fillId="11" borderId="6" xfId="5" applyFont="1" applyFill="1" applyBorder="1" applyAlignment="1">
      <alignment horizontal="center"/>
    </xf>
    <xf numFmtId="0" fontId="13" fillId="9" borderId="5" xfId="5" applyFont="1" applyFill="1" applyBorder="1" applyAlignment="1">
      <alignment horizontal="center"/>
    </xf>
    <xf numFmtId="0" fontId="13" fillId="9" borderId="19" xfId="5" applyFont="1" applyFill="1" applyBorder="1" applyAlignment="1">
      <alignment horizontal="center"/>
    </xf>
    <xf numFmtId="168" fontId="4" fillId="12" borderId="4" xfId="0" applyNumberFormat="1" applyFont="1" applyFill="1" applyBorder="1" applyAlignment="1">
      <alignment horizontal="right"/>
    </xf>
    <xf numFmtId="168" fontId="4" fillId="12" borderId="12" xfId="0" applyNumberFormat="1" applyFont="1" applyFill="1" applyBorder="1" applyAlignment="1">
      <alignment horizontal="right"/>
    </xf>
    <xf numFmtId="168" fontId="4" fillId="12" borderId="6" xfId="0" applyNumberFormat="1" applyFont="1" applyFill="1" applyBorder="1"/>
    <xf numFmtId="0" fontId="8" fillId="12" borderId="0" xfId="3" applyFont="1" applyFill="1" applyBorder="1" applyAlignment="1">
      <alignment vertical="center"/>
    </xf>
    <xf numFmtId="0" fontId="0" fillId="12" borderId="0" xfId="0" applyFill="1" applyAlignment="1">
      <alignment vertical="center"/>
    </xf>
    <xf numFmtId="0" fontId="6" fillId="12" borderId="0" xfId="4" applyFill="1" applyBorder="1" applyAlignment="1">
      <alignment horizontal="center" vertical="center"/>
    </xf>
    <xf numFmtId="0" fontId="0" fillId="12" borderId="0" xfId="0" applyFill="1" applyAlignment="1">
      <alignment horizontal="center" vertical="center"/>
    </xf>
    <xf numFmtId="0" fontId="0" fillId="12" borderId="0" xfId="0" applyFill="1" applyAlignment="1">
      <alignment vertical="top"/>
    </xf>
    <xf numFmtId="0" fontId="5" fillId="12" borderId="0" xfId="0" applyFont="1" applyFill="1" applyAlignment="1">
      <alignment vertical="top"/>
    </xf>
    <xf numFmtId="0" fontId="3" fillId="0" borderId="0" xfId="0" applyFont="1" applyAlignment="1">
      <alignment vertical="top"/>
    </xf>
    <xf numFmtId="0" fontId="11" fillId="12" borderId="0" xfId="5" applyFont="1" applyFill="1" applyBorder="1" applyAlignment="1">
      <alignment horizontal="center" vertical="center"/>
    </xf>
    <xf numFmtId="0" fontId="0" fillId="5" borderId="0" xfId="0" applyFill="1" applyAlignment="1">
      <alignment vertical="top"/>
    </xf>
    <xf numFmtId="0" fontId="2" fillId="5" borderId="21" xfId="3" applyFill="1" applyBorder="1" applyAlignment="1">
      <alignment wrapText="1"/>
    </xf>
    <xf numFmtId="0" fontId="14" fillId="5" borderId="22" xfId="7" applyFill="1" applyBorder="1" applyAlignment="1">
      <alignment wrapText="1"/>
    </xf>
    <xf numFmtId="0" fontId="0" fillId="5" borderId="23" xfId="0" applyFill="1" applyBorder="1" applyAlignment="1">
      <alignment vertical="top" wrapText="1"/>
    </xf>
    <xf numFmtId="0" fontId="0" fillId="5" borderId="23" xfId="0" applyFill="1" applyBorder="1" applyAlignment="1">
      <alignment wrapText="1"/>
    </xf>
    <xf numFmtId="0" fontId="0" fillId="5" borderId="24" xfId="0" applyFill="1" applyBorder="1" applyAlignment="1">
      <alignment wrapText="1"/>
    </xf>
    <xf numFmtId="0" fontId="13" fillId="9" borderId="8" xfId="5" applyFont="1" applyFill="1" applyBorder="1" applyAlignment="1">
      <alignment horizontal="center"/>
    </xf>
    <xf numFmtId="1" fontId="5" fillId="0" borderId="0" xfId="0" applyNumberFormat="1" applyFont="1" applyAlignment="1" applyProtection="1">
      <alignment horizontal="center"/>
      <protection locked="0"/>
    </xf>
    <xf numFmtId="0" fontId="11" fillId="11" borderId="0" xfId="5" applyFont="1" applyFill="1" applyBorder="1" applyAlignment="1">
      <alignment horizontal="center" vertical="center"/>
    </xf>
    <xf numFmtId="0" fontId="7" fillId="11" borderId="35" xfId="5" applyFill="1" applyBorder="1" applyAlignment="1">
      <alignment horizontal="center"/>
    </xf>
    <xf numFmtId="0" fontId="7" fillId="11" borderId="36" xfId="5" applyFill="1" applyBorder="1" applyAlignment="1">
      <alignment horizontal="center"/>
    </xf>
    <xf numFmtId="0" fontId="12" fillId="9" borderId="36" xfId="6" applyFont="1" applyFill="1" applyBorder="1"/>
    <xf numFmtId="1" fontId="5" fillId="0" borderId="37" xfId="0" applyNumberFormat="1" applyFont="1" applyBorder="1" applyAlignment="1" applyProtection="1">
      <alignment horizontal="center"/>
      <protection locked="0"/>
    </xf>
    <xf numFmtId="0" fontId="0" fillId="11" borderId="38" xfId="0" applyFill="1" applyBorder="1" applyAlignment="1">
      <alignment horizontal="center"/>
    </xf>
    <xf numFmtId="1" fontId="5" fillId="0" borderId="39" xfId="0" applyNumberFormat="1" applyFont="1" applyBorder="1" applyAlignment="1" applyProtection="1">
      <alignment horizontal="center"/>
      <protection locked="0"/>
    </xf>
    <xf numFmtId="1" fontId="0" fillId="11" borderId="40" xfId="0" applyNumberFormat="1" applyFill="1" applyBorder="1" applyAlignment="1">
      <alignment horizontal="center"/>
    </xf>
    <xf numFmtId="0" fontId="15" fillId="0" borderId="0" xfId="0" applyFont="1"/>
    <xf numFmtId="0" fontId="15" fillId="0" borderId="0" xfId="5" applyFont="1" applyFill="1" applyBorder="1" applyAlignment="1">
      <alignment horizontal="center" vertical="center" wrapText="1"/>
    </xf>
    <xf numFmtId="0" fontId="15" fillId="0" borderId="0" xfId="5" applyFont="1" applyFill="1" applyBorder="1" applyAlignment="1">
      <alignment horizontal="center"/>
    </xf>
    <xf numFmtId="0" fontId="16" fillId="0" borderId="0" xfId="6" applyFont="1" applyFill="1" applyBorder="1"/>
    <xf numFmtId="0" fontId="15" fillId="0" borderId="0" xfId="0" applyFont="1" applyAlignment="1">
      <alignment horizontal="center"/>
    </xf>
    <xf numFmtId="0" fontId="0" fillId="10" borderId="0" xfId="0" applyFill="1" applyAlignment="1">
      <alignment horizontal="center" vertical="center"/>
    </xf>
    <xf numFmtId="0" fontId="0" fillId="5" borderId="0" xfId="0" applyFill="1" applyAlignment="1">
      <alignment horizontal="center" wrapText="1"/>
    </xf>
    <xf numFmtId="0" fontId="4" fillId="2" borderId="0" xfId="0" applyFont="1" applyFill="1" applyAlignment="1">
      <alignment horizontal="center"/>
    </xf>
    <xf numFmtId="0" fontId="16" fillId="0" borderId="0" xfId="6" applyFont="1" applyFill="1" applyBorder="1" applyAlignment="1">
      <alignment horizontal="center"/>
    </xf>
    <xf numFmtId="165" fontId="0" fillId="0" borderId="0" xfId="0" applyNumberFormat="1"/>
    <xf numFmtId="165" fontId="0" fillId="0" borderId="0" xfId="0" applyNumberFormat="1" applyAlignment="1">
      <alignment horizontal="center"/>
    </xf>
    <xf numFmtId="166" fontId="0" fillId="0" borderId="0" xfId="0" applyNumberFormat="1"/>
    <xf numFmtId="44" fontId="0" fillId="0" borderId="0" xfId="2" applyFont="1" applyFill="1" applyAlignment="1">
      <alignment horizontal="right"/>
    </xf>
    <xf numFmtId="166" fontId="0" fillId="0" borderId="0" xfId="0" applyNumberFormat="1" applyAlignment="1">
      <alignment horizontal="center"/>
    </xf>
    <xf numFmtId="166" fontId="0" fillId="0" borderId="0" xfId="2" applyNumberFormat="1" applyFont="1" applyFill="1"/>
    <xf numFmtId="166" fontId="0" fillId="0" borderId="0" xfId="2" applyNumberFormat="1" applyFont="1" applyFill="1" applyAlignment="1">
      <alignment horizontal="center"/>
    </xf>
    <xf numFmtId="44" fontId="3" fillId="0" borderId="0" xfId="2" applyFont="1" applyFill="1" applyAlignment="1">
      <alignment horizontal="right"/>
    </xf>
    <xf numFmtId="0" fontId="0" fillId="0" borderId="3" xfId="0" applyBorder="1"/>
    <xf numFmtId="44" fontId="0" fillId="0" borderId="0" xfId="2" quotePrefix="1" applyFont="1" applyFill="1" applyAlignment="1">
      <alignment horizontal="right"/>
    </xf>
    <xf numFmtId="1" fontId="5" fillId="0" borderId="43" xfId="0" applyNumberFormat="1" applyFont="1" applyBorder="1" applyAlignment="1" applyProtection="1">
      <alignment horizontal="center"/>
      <protection locked="0"/>
    </xf>
    <xf numFmtId="0" fontId="0" fillId="11" borderId="44" xfId="0" applyFill="1" applyBorder="1" applyAlignment="1">
      <alignment horizontal="center"/>
    </xf>
    <xf numFmtId="0" fontId="12" fillId="9" borderId="49" xfId="6" applyFont="1" applyFill="1" applyBorder="1" applyAlignment="1">
      <alignment horizontal="center"/>
    </xf>
    <xf numFmtId="0" fontId="12" fillId="9" borderId="50" xfId="6" applyFont="1" applyFill="1" applyBorder="1"/>
    <xf numFmtId="0" fontId="12" fillId="9" borderId="51" xfId="6" applyFont="1" applyFill="1" applyBorder="1"/>
    <xf numFmtId="0" fontId="12" fillId="9" borderId="52" xfId="6" applyFont="1" applyFill="1" applyBorder="1" applyAlignment="1">
      <alignment horizontal="center"/>
    </xf>
    <xf numFmtId="0" fontId="12" fillId="9" borderId="53" xfId="6" applyFont="1" applyFill="1" applyBorder="1"/>
    <xf numFmtId="0" fontId="12" fillId="9" borderId="54" xfId="6" applyFont="1" applyFill="1" applyBorder="1"/>
    <xf numFmtId="0" fontId="12" fillId="9" borderId="25" xfId="6" applyFont="1" applyFill="1" applyBorder="1" applyAlignment="1">
      <alignment horizontal="center"/>
    </xf>
    <xf numFmtId="1" fontId="5" fillId="0" borderId="56" xfId="0" applyNumberFormat="1" applyFont="1" applyBorder="1" applyAlignment="1" applyProtection="1">
      <alignment horizontal="center"/>
      <protection locked="0"/>
    </xf>
    <xf numFmtId="0" fontId="0" fillId="11" borderId="57" xfId="0" applyFill="1" applyBorder="1" applyAlignment="1">
      <alignment horizontal="center"/>
    </xf>
    <xf numFmtId="0" fontId="0" fillId="11" borderId="42" xfId="0" applyFill="1" applyBorder="1" applyAlignment="1">
      <alignment horizontal="center" vertical="top"/>
    </xf>
    <xf numFmtId="0" fontId="0" fillId="11" borderId="32" xfId="0" applyFill="1" applyBorder="1" applyAlignment="1">
      <alignment horizontal="center" vertical="top"/>
    </xf>
    <xf numFmtId="0" fontId="0" fillId="11" borderId="31" xfId="0" applyFill="1" applyBorder="1" applyAlignment="1">
      <alignment horizontal="center"/>
    </xf>
    <xf numFmtId="0" fontId="0" fillId="11" borderId="32" xfId="0" applyFill="1" applyBorder="1" applyAlignment="1">
      <alignment horizontal="center"/>
    </xf>
    <xf numFmtId="0" fontId="0" fillId="11" borderId="59" xfId="0" applyFill="1" applyBorder="1" applyAlignment="1">
      <alignment horizontal="center"/>
    </xf>
    <xf numFmtId="0" fontId="7" fillId="9" borderId="27" xfId="5" applyFill="1" applyBorder="1" applyAlignment="1">
      <alignment vertical="center"/>
    </xf>
    <xf numFmtId="0" fontId="7" fillId="9" borderId="29" xfId="5" applyFill="1" applyBorder="1" applyAlignment="1">
      <alignment vertical="center"/>
    </xf>
    <xf numFmtId="0" fontId="0" fillId="11" borderId="46" xfId="0" applyFill="1" applyBorder="1" applyAlignment="1">
      <alignment horizontal="center"/>
    </xf>
    <xf numFmtId="0" fontId="0" fillId="11" borderId="55" xfId="0" applyFill="1" applyBorder="1" applyAlignment="1">
      <alignment horizontal="center"/>
    </xf>
    <xf numFmtId="0" fontId="0" fillId="11" borderId="31" xfId="0" applyFill="1" applyBorder="1" applyAlignment="1">
      <alignment horizontal="center" vertical="top"/>
    </xf>
    <xf numFmtId="0" fontId="18" fillId="9" borderId="45" xfId="6" applyFont="1" applyFill="1" applyBorder="1"/>
    <xf numFmtId="0" fontId="19" fillId="9" borderId="45" xfId="6" applyFont="1" applyFill="1" applyBorder="1"/>
    <xf numFmtId="0" fontId="4" fillId="11" borderId="6" xfId="5" applyFont="1" applyFill="1" applyBorder="1" applyAlignment="1">
      <alignment horizontal="center" vertical="center"/>
    </xf>
    <xf numFmtId="0" fontId="4" fillId="11" borderId="6" xfId="5" applyFont="1" applyFill="1" applyBorder="1" applyAlignment="1">
      <alignment horizontal="center" vertical="center" wrapText="1"/>
    </xf>
    <xf numFmtId="0" fontId="0" fillId="11" borderId="6" xfId="5" applyFont="1" applyFill="1" applyBorder="1" applyAlignment="1">
      <alignment horizontal="center" vertical="center"/>
    </xf>
    <xf numFmtId="0" fontId="4" fillId="11" borderId="11" xfId="5" applyFont="1" applyFill="1" applyBorder="1" applyAlignment="1">
      <alignment horizontal="center" vertical="center" wrapText="1"/>
    </xf>
    <xf numFmtId="44" fontId="15" fillId="0" borderId="0" xfId="2" quotePrefix="1" applyFont="1" applyFill="1" applyAlignment="1">
      <alignment horizontal="right"/>
    </xf>
    <xf numFmtId="44" fontId="15" fillId="0" borderId="0" xfId="2" applyFont="1" applyFill="1" applyAlignment="1">
      <alignment horizontal="right"/>
    </xf>
    <xf numFmtId="164" fontId="15" fillId="0" borderId="0" xfId="1" applyNumberFormat="1" applyFont="1" applyAlignment="1">
      <alignment horizontal="right"/>
    </xf>
    <xf numFmtId="0" fontId="21" fillId="9" borderId="0" xfId="5" applyFont="1" applyFill="1" applyBorder="1" applyAlignment="1">
      <alignment horizontal="center"/>
    </xf>
    <xf numFmtId="0" fontId="21" fillId="9" borderId="33" xfId="5" applyFont="1" applyFill="1" applyBorder="1" applyAlignment="1">
      <alignment horizontal="center"/>
    </xf>
    <xf numFmtId="0" fontId="21" fillId="9" borderId="34" xfId="5" applyFont="1" applyFill="1" applyBorder="1" applyAlignment="1">
      <alignment horizontal="center"/>
    </xf>
    <xf numFmtId="0" fontId="0" fillId="11" borderId="40" xfId="0" applyFill="1" applyBorder="1" applyAlignment="1">
      <alignment horizontal="center"/>
    </xf>
    <xf numFmtId="0" fontId="0" fillId="12" borderId="18" xfId="0" applyFill="1" applyBorder="1" applyAlignment="1">
      <alignment horizontal="center"/>
    </xf>
    <xf numFmtId="0" fontId="23" fillId="11" borderId="8" xfId="0" applyFont="1" applyFill="1" applyBorder="1" applyAlignment="1">
      <alignment horizontal="left" wrapText="1" indent="2"/>
    </xf>
    <xf numFmtId="0" fontId="11" fillId="0" borderId="0" xfId="5" applyFont="1" applyFill="1" applyBorder="1" applyAlignment="1">
      <alignment horizontal="center" vertical="center"/>
    </xf>
    <xf numFmtId="0" fontId="0" fillId="12" borderId="0" xfId="0" quotePrefix="1" applyFill="1" applyAlignment="1">
      <alignment horizontal="left" vertical="top" wrapText="1"/>
    </xf>
    <xf numFmtId="0" fontId="11" fillId="9" borderId="14" xfId="5" applyFont="1" applyFill="1" applyBorder="1" applyAlignment="1">
      <alignment horizontal="center" vertical="center"/>
    </xf>
    <xf numFmtId="0" fontId="11" fillId="9" borderId="15" xfId="5" applyFont="1" applyFill="1" applyBorder="1" applyAlignment="1">
      <alignment horizontal="center" vertical="center"/>
    </xf>
    <xf numFmtId="0" fontId="11" fillId="9" borderId="16" xfId="5" applyFont="1" applyFill="1" applyBorder="1" applyAlignment="1">
      <alignment horizontal="center" vertical="center"/>
    </xf>
    <xf numFmtId="0" fontId="23" fillId="12" borderId="0" xfId="0" applyFont="1" applyFill="1" applyAlignment="1">
      <alignment horizontal="left" vertical="top" wrapText="1"/>
    </xf>
    <xf numFmtId="0" fontId="5" fillId="0" borderId="0" xfId="0" applyFont="1" applyAlignment="1" applyProtection="1">
      <alignment vertical="top" wrapText="1"/>
      <protection locked="0"/>
    </xf>
    <xf numFmtId="0" fontId="11" fillId="9" borderId="17" xfId="5" applyFont="1" applyFill="1" applyBorder="1" applyAlignment="1">
      <alignment horizontal="center" vertical="center" wrapText="1"/>
    </xf>
    <xf numFmtId="0" fontId="11" fillId="9" borderId="18" xfId="5" applyFont="1" applyFill="1" applyBorder="1" applyAlignment="1">
      <alignment horizontal="center" vertical="center" wrapText="1"/>
    </xf>
    <xf numFmtId="0" fontId="11" fillId="9" borderId="19" xfId="5" applyFont="1" applyFill="1" applyBorder="1" applyAlignment="1">
      <alignment horizontal="center" vertical="center" wrapText="1"/>
    </xf>
    <xf numFmtId="0" fontId="7" fillId="9" borderId="10" xfId="5" applyFill="1" applyBorder="1" applyAlignment="1">
      <alignment horizontal="center" vertical="center" wrapText="1"/>
    </xf>
    <xf numFmtId="0" fontId="7" fillId="9" borderId="3" xfId="5" applyFill="1" applyBorder="1" applyAlignment="1">
      <alignment horizontal="center" vertical="center" wrapText="1"/>
    </xf>
    <xf numFmtId="0" fontId="7" fillId="9" borderId="11" xfId="5" applyFill="1" applyBorder="1" applyAlignment="1">
      <alignment horizontal="center" vertical="center" wrapText="1"/>
    </xf>
    <xf numFmtId="0" fontId="9" fillId="9" borderId="17" xfId="5" applyFont="1" applyFill="1" applyBorder="1" applyAlignment="1">
      <alignment horizontal="center" vertical="center" wrapText="1"/>
    </xf>
    <xf numFmtId="0" fontId="9" fillId="9" borderId="18" xfId="5" applyFont="1" applyFill="1" applyBorder="1" applyAlignment="1">
      <alignment horizontal="center" vertical="center" wrapText="1"/>
    </xf>
    <xf numFmtId="0" fontId="9" fillId="9" borderId="19" xfId="5" applyFont="1" applyFill="1" applyBorder="1" applyAlignment="1">
      <alignment horizontal="center" vertical="center" wrapText="1"/>
    </xf>
    <xf numFmtId="0" fontId="7" fillId="9" borderId="10" xfId="5" applyFill="1" applyBorder="1" applyAlignment="1">
      <alignment horizontal="center" vertical="center"/>
    </xf>
    <xf numFmtId="0" fontId="7" fillId="9" borderId="3" xfId="5" applyFill="1" applyBorder="1" applyAlignment="1">
      <alignment horizontal="center" vertical="center"/>
    </xf>
    <xf numFmtId="0" fontId="7" fillId="9" borderId="11" xfId="5" applyFill="1" applyBorder="1" applyAlignment="1">
      <alignment horizontal="center" vertical="center"/>
    </xf>
    <xf numFmtId="0" fontId="4" fillId="5" borderId="2" xfId="0" applyFont="1" applyFill="1" applyBorder="1" applyAlignment="1">
      <alignment horizontal="right"/>
    </xf>
    <xf numFmtId="0" fontId="3" fillId="0" borderId="0" xfId="0" applyFont="1" applyAlignment="1">
      <alignment horizontal="center" vertical="center" textRotation="46" wrapText="1"/>
    </xf>
    <xf numFmtId="0" fontId="11" fillId="9" borderId="26" xfId="5" applyFont="1" applyFill="1" applyBorder="1" applyAlignment="1">
      <alignment horizontal="center" vertical="center"/>
    </xf>
    <xf numFmtId="0" fontId="11" fillId="9" borderId="13" xfId="5" applyFont="1" applyFill="1" applyBorder="1" applyAlignment="1">
      <alignment horizontal="center" vertical="center"/>
    </xf>
    <xf numFmtId="0" fontId="7" fillId="9" borderId="27" xfId="5" applyFill="1" applyBorder="1" applyAlignment="1">
      <alignment horizontal="center" vertical="center" wrapText="1"/>
    </xf>
    <xf numFmtId="0" fontId="7" fillId="9" borderId="28" xfId="5" applyFill="1" applyBorder="1" applyAlignment="1">
      <alignment horizontal="center" vertical="center" wrapText="1"/>
    </xf>
    <xf numFmtId="0" fontId="7" fillId="9" borderId="29" xfId="5" applyFill="1" applyBorder="1" applyAlignment="1">
      <alignment horizontal="center" vertical="center" wrapText="1"/>
    </xf>
    <xf numFmtId="0" fontId="7" fillId="9" borderId="30" xfId="5" applyFill="1" applyBorder="1" applyAlignment="1">
      <alignment horizontal="center" vertical="center" wrapText="1"/>
    </xf>
    <xf numFmtId="0" fontId="0" fillId="11" borderId="39" xfId="0" applyFill="1" applyBorder="1" applyAlignment="1">
      <alignment horizontal="center"/>
    </xf>
    <xf numFmtId="0" fontId="0" fillId="11" borderId="40" xfId="0" applyFill="1" applyBorder="1" applyAlignment="1">
      <alignment horizontal="center"/>
    </xf>
    <xf numFmtId="0" fontId="0" fillId="12" borderId="18" xfId="0" applyFill="1" applyBorder="1" applyAlignment="1">
      <alignment horizontal="center"/>
    </xf>
    <xf numFmtId="0" fontId="0" fillId="11" borderId="47" xfId="0" applyFill="1" applyBorder="1" applyAlignment="1">
      <alignment horizontal="center"/>
    </xf>
    <xf numFmtId="0" fontId="0" fillId="11" borderId="48" xfId="0" applyFill="1" applyBorder="1" applyAlignment="1">
      <alignment horizontal="center"/>
    </xf>
    <xf numFmtId="0" fontId="0" fillId="11" borderId="58" xfId="0" applyFill="1" applyBorder="1" applyAlignment="1">
      <alignment horizontal="center"/>
    </xf>
    <xf numFmtId="0" fontId="0" fillId="11" borderId="41" xfId="0" applyFill="1" applyBorder="1" applyAlignment="1">
      <alignment horizontal="center"/>
    </xf>
  </cellXfs>
  <cellStyles count="8">
    <cellStyle name="60 % - Accent5" xfId="6" builtinId="48"/>
    <cellStyle name="Accent5" xfId="5" builtinId="45"/>
    <cellStyle name="Lien hypertexte" xfId="4" builtinId="8"/>
    <cellStyle name="Milliers" xfId="1" builtinId="3"/>
    <cellStyle name="Monétaire" xfId="2" builtinId="4"/>
    <cellStyle name="Normal" xfId="0" builtinId="0"/>
    <cellStyle name="Titre 1" xfId="3" builtinId="16"/>
    <cellStyle name="Titre 3" xfId="7" builtinId="18"/>
  </cellStyles>
  <dxfs count="2">
    <dxf>
      <fill>
        <patternFill>
          <bgColor theme="7" tint="0.79998168889431442"/>
        </patternFill>
      </fill>
    </dxf>
    <dxf>
      <fill>
        <patternFill>
          <bgColor theme="9" tint="0.79998168889431442"/>
        </patternFill>
      </fill>
    </dxf>
  </dxfs>
  <tableStyles count="0" defaultTableStyle="TableStyleMedium2" defaultPivotStyle="PivotStyleLight16"/>
  <colors>
    <mruColors>
      <color rgb="FF1FB7C6"/>
      <color rgb="FFE7FAFC"/>
      <color rgb="FF363A42"/>
      <color rgb="FFE1E3E6"/>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Kostenrechner!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hyperlink" Target="#Beschreibung!A1"/><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1725084</xdr:colOff>
      <xdr:row>1</xdr:row>
      <xdr:rowOff>190501</xdr:rowOff>
    </xdr:from>
    <xdr:to>
      <xdr:col>3</xdr:col>
      <xdr:colOff>1799166</xdr:colOff>
      <xdr:row>1</xdr:row>
      <xdr:rowOff>565151</xdr:rowOff>
    </xdr:to>
    <xdr:sp macro="" textlink="">
      <xdr:nvSpPr>
        <xdr:cNvPr id="9" name="Rectangle : coins arrondis 8">
          <a:hlinkClick xmlns:r="http://schemas.openxmlformats.org/officeDocument/2006/relationships" r:id="rId1"/>
          <a:extLst>
            <a:ext uri="{FF2B5EF4-FFF2-40B4-BE49-F238E27FC236}">
              <a16:creationId xmlns:a16="http://schemas.microsoft.com/office/drawing/2014/main" id="{8AD16307-B131-9E47-B8AC-42E7C94EF5B6}"/>
            </a:ext>
          </a:extLst>
        </xdr:cNvPr>
        <xdr:cNvSpPr/>
      </xdr:nvSpPr>
      <xdr:spPr>
        <a:xfrm>
          <a:off x="6614584" y="1026584"/>
          <a:ext cx="1904999" cy="374650"/>
        </a:xfrm>
        <a:prstGeom prst="roundRect">
          <a:avLst>
            <a:gd name="adj" fmla="val 50000"/>
          </a:avLst>
        </a:prstGeom>
        <a:solidFill>
          <a:srgbClr val="1FB7C6"/>
        </a:solidFill>
        <a:ln>
          <a:noFill/>
        </a:ln>
        <a:effectLst/>
        <a:scene3d>
          <a:camera prst="orthographicFront"/>
          <a:lightRig rig="balanced" dir="t"/>
        </a:scene3d>
        <a:sp3d>
          <a:bevelB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H" sz="1400"/>
            <a:t>KOSTENRECHNER</a:t>
          </a:r>
        </a:p>
      </xdr:txBody>
    </xdr:sp>
    <xdr:clientData/>
  </xdr:twoCellAnchor>
  <xdr:twoCellAnchor editAs="oneCell">
    <xdr:from>
      <xdr:col>1</xdr:col>
      <xdr:colOff>12700</xdr:colOff>
      <xdr:row>0</xdr:row>
      <xdr:rowOff>101600</xdr:rowOff>
    </xdr:from>
    <xdr:to>
      <xdr:col>1</xdr:col>
      <xdr:colOff>1358900</xdr:colOff>
      <xdr:row>0</xdr:row>
      <xdr:rowOff>769667</xdr:rowOff>
    </xdr:to>
    <xdr:pic>
      <xdr:nvPicPr>
        <xdr:cNvPr id="10" name="Image 9">
          <a:extLst>
            <a:ext uri="{FF2B5EF4-FFF2-40B4-BE49-F238E27FC236}">
              <a16:creationId xmlns:a16="http://schemas.microsoft.com/office/drawing/2014/main" id="{3E7CDAB4-8419-D041-90B5-0654A3BDBF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101600"/>
          <a:ext cx="1346200" cy="674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277193</xdr:colOff>
      <xdr:row>1</xdr:row>
      <xdr:rowOff>180975</xdr:rowOff>
    </xdr:from>
    <xdr:to>
      <xdr:col>4</xdr:col>
      <xdr:colOff>857250</xdr:colOff>
      <xdr:row>1</xdr:row>
      <xdr:rowOff>542925</xdr:rowOff>
    </xdr:to>
    <xdr:sp macro="" textlink="">
      <xdr:nvSpPr>
        <xdr:cNvPr id="2" name="Rectangle : coins arrondis 1">
          <a:hlinkClick xmlns:r="http://schemas.openxmlformats.org/officeDocument/2006/relationships" r:id="rId1"/>
          <a:extLst>
            <a:ext uri="{FF2B5EF4-FFF2-40B4-BE49-F238E27FC236}">
              <a16:creationId xmlns:a16="http://schemas.microsoft.com/office/drawing/2014/main" id="{79089BD6-4C8E-472E-A3A0-1F00B567955A}"/>
            </a:ext>
          </a:extLst>
        </xdr:cNvPr>
        <xdr:cNvSpPr/>
      </xdr:nvSpPr>
      <xdr:spPr>
        <a:xfrm>
          <a:off x="5261943" y="1019175"/>
          <a:ext cx="3056557" cy="361950"/>
        </a:xfrm>
        <a:prstGeom prst="roundRect">
          <a:avLst>
            <a:gd name="adj" fmla="val 50000"/>
          </a:avLst>
        </a:prstGeom>
        <a:solidFill>
          <a:srgbClr val="1FB7C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H" sz="1400" cap="all" baseline="0"/>
            <a:t>Beschreibung</a:t>
          </a:r>
        </a:p>
      </xdr:txBody>
    </xdr:sp>
    <xdr:clientData/>
  </xdr:twoCellAnchor>
  <xdr:twoCellAnchor editAs="oneCell">
    <xdr:from>
      <xdr:col>1</xdr:col>
      <xdr:colOff>12700</xdr:colOff>
      <xdr:row>0</xdr:row>
      <xdr:rowOff>101600</xdr:rowOff>
    </xdr:from>
    <xdr:to>
      <xdr:col>1</xdr:col>
      <xdr:colOff>1362075</xdr:colOff>
      <xdr:row>0</xdr:row>
      <xdr:rowOff>772842</xdr:rowOff>
    </xdr:to>
    <xdr:pic>
      <xdr:nvPicPr>
        <xdr:cNvPr id="4" name="Image 3">
          <a:extLst>
            <a:ext uri="{FF2B5EF4-FFF2-40B4-BE49-F238E27FC236}">
              <a16:creationId xmlns:a16="http://schemas.microsoft.com/office/drawing/2014/main" id="{7ED62D3A-9D93-3F47-B320-F8D1FEE0D3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9400" y="101600"/>
          <a:ext cx="1346200" cy="674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476250</xdr:colOff>
          <xdr:row>49</xdr:row>
          <xdr:rowOff>195660</xdr:rowOff>
        </xdr:from>
        <xdr:to>
          <xdr:col>5</xdr:col>
          <xdr:colOff>192087</xdr:colOff>
          <xdr:row>58</xdr:row>
          <xdr:rowOff>44941</xdr:rowOff>
        </xdr:to>
        <xdr:pic>
          <xdr:nvPicPr>
            <xdr:cNvPr id="8" name="Image 7">
              <a:extLst>
                <a:ext uri="{FF2B5EF4-FFF2-40B4-BE49-F238E27FC236}">
                  <a16:creationId xmlns:a16="http://schemas.microsoft.com/office/drawing/2014/main" id="{2535088B-2CCA-443B-99AA-175A71B40E86}"/>
                </a:ext>
              </a:extLst>
            </xdr:cNvPr>
            <xdr:cNvPicPr>
              <a:picLocks noChangeAspect="1" noChangeArrowheads="1"/>
              <a:extLst>
                <a:ext uri="{84589F7E-364E-4C9E-8A38-B11213B215E9}">
                  <a14:cameraTool cellRange="$AO$52:$AW$62" spid="_x0000_s4450"/>
                </a:ext>
              </a:extLst>
            </xdr:cNvPicPr>
          </xdr:nvPicPr>
          <xdr:blipFill>
            <a:blip xmlns:r="http://schemas.openxmlformats.org/officeDocument/2006/relationships" r:embed="rId3"/>
            <a:srcRect/>
            <a:stretch>
              <a:fillRect/>
            </a:stretch>
          </xdr:blipFill>
          <xdr:spPr bwMode="auto">
            <a:xfrm>
              <a:off x="476250" y="10585848"/>
              <a:ext cx="8334375" cy="208256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49</xdr:row>
          <xdr:rowOff>196850</xdr:rowOff>
        </xdr:from>
        <xdr:to>
          <xdr:col>5</xdr:col>
          <xdr:colOff>190500</xdr:colOff>
          <xdr:row>58</xdr:row>
          <xdr:rowOff>47625</xdr:rowOff>
        </xdr:to>
        <xdr:pic>
          <xdr:nvPicPr>
            <xdr:cNvPr id="4098" name="Image 7">
              <a:extLst>
                <a:ext uri="{FF2B5EF4-FFF2-40B4-BE49-F238E27FC236}">
                  <a16:creationId xmlns:a16="http://schemas.microsoft.com/office/drawing/2014/main" id="{1499475C-5A76-8F1C-ADA9-82A70A329F83}"/>
                </a:ext>
              </a:extLst>
            </xdr:cNvPr>
            <xdr:cNvPicPr>
              <a:picLocks noChangeAspect="1" noChangeArrowheads="1"/>
              <a:extLst>
                <a:ext uri="{84589F7E-364E-4C9E-8A38-B11213B215E9}">
                  <a14:cameraTool cellRange="$AO$52:$AW$62" spid="_x0000_s4451"/>
                </a:ext>
              </a:extLst>
            </xdr:cNvPicPr>
          </xdr:nvPicPr>
          <xdr:blipFill>
            <a:blip xmlns:r="http://schemas.openxmlformats.org/officeDocument/2006/relationships" r:embed="rId4"/>
            <a:srcRect/>
            <a:stretch>
              <a:fillRect/>
            </a:stretch>
          </xdr:blipFill>
          <xdr:spPr bwMode="auto">
            <a:xfrm>
              <a:off x="400050" y="11150600"/>
              <a:ext cx="8737600" cy="2038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3F9D5-DC85-4A5D-AF3C-D9B8CEFE03BA}">
  <sheetPr codeName="Feuil2">
    <pageSetUpPr fitToPage="1"/>
  </sheetPr>
  <dimension ref="A1:H41"/>
  <sheetViews>
    <sheetView showGridLines="0" showRowColHeaders="0" tabSelected="1" zoomScaleNormal="100" workbookViewId="0">
      <pane ySplit="2" topLeftCell="A3" activePane="bottomLeft" state="frozen"/>
      <selection pane="bottomLeft" activeCell="E9" sqref="E9"/>
    </sheetView>
  </sheetViews>
  <sheetFormatPr baseColWidth="10" defaultColWidth="11.453125" defaultRowHeight="14.5"/>
  <cols>
    <col min="1" max="1" width="7.453125" customWidth="1"/>
    <col min="2" max="2" width="56.81640625" style="24" customWidth="1"/>
    <col min="3" max="4" width="24" style="22" customWidth="1"/>
    <col min="5" max="5" width="10.453125" style="22" customWidth="1"/>
    <col min="6" max="6" width="11.453125" style="22" customWidth="1"/>
    <col min="8" max="16384" width="11.453125" style="22"/>
  </cols>
  <sheetData>
    <row r="1" spans="1:8" s="39" customFormat="1" ht="66" customHeight="1">
      <c r="C1" s="40"/>
      <c r="D1" s="40"/>
    </row>
    <row r="2" spans="1:8" s="34" customFormat="1" ht="57" customHeight="1">
      <c r="B2" s="38" t="s">
        <v>0</v>
      </c>
      <c r="C2" s="35"/>
      <c r="D2" s="36"/>
    </row>
    <row r="3" spans="1:8" s="37" customFormat="1" ht="15" customHeight="1">
      <c r="A3" s="68"/>
      <c r="B3" s="67"/>
      <c r="C3" s="69"/>
      <c r="D3" s="70"/>
      <c r="E3" s="68"/>
    </row>
    <row r="4" spans="1:8" ht="15" customHeight="1">
      <c r="A4" s="50"/>
      <c r="B4" s="148" t="s">
        <v>1</v>
      </c>
      <c r="C4" s="149"/>
      <c r="D4" s="150"/>
      <c r="E4" s="71"/>
      <c r="G4" s="22"/>
    </row>
    <row r="5" spans="1:8" ht="15" customHeight="1">
      <c r="A5" s="50"/>
      <c r="B5" s="74"/>
      <c r="C5" s="74"/>
      <c r="D5" s="74"/>
      <c r="E5" s="71"/>
      <c r="G5" s="22"/>
    </row>
    <row r="6" spans="1:8" ht="309" customHeight="1">
      <c r="A6" s="50"/>
      <c r="B6" s="151" t="s">
        <v>2</v>
      </c>
      <c r="C6" s="151"/>
      <c r="D6" s="151"/>
      <c r="E6" s="71"/>
      <c r="G6" s="146"/>
      <c r="H6" s="73"/>
    </row>
    <row r="7" spans="1:8" ht="15" customHeight="1">
      <c r="A7" s="50"/>
      <c r="B7" s="148" t="s">
        <v>3</v>
      </c>
      <c r="C7" s="149"/>
      <c r="D7" s="150"/>
      <c r="E7" s="71"/>
      <c r="G7" s="146"/>
    </row>
    <row r="8" spans="1:8" ht="15" customHeight="1">
      <c r="A8" s="50"/>
      <c r="B8" s="74"/>
      <c r="C8" s="74"/>
      <c r="D8" s="74"/>
      <c r="E8" s="71"/>
      <c r="G8" s="146"/>
    </row>
    <row r="9" spans="1:8" s="23" customFormat="1" ht="216" customHeight="1">
      <c r="A9" s="50"/>
      <c r="B9" s="147" t="s">
        <v>4</v>
      </c>
      <c r="C9" s="147"/>
      <c r="D9" s="147"/>
      <c r="E9" s="72"/>
      <c r="G9" s="146"/>
    </row>
    <row r="10" spans="1:8" ht="15" customHeight="1">
      <c r="A10" s="50"/>
      <c r="B10" s="147"/>
      <c r="C10" s="147"/>
      <c r="D10" s="147"/>
      <c r="E10" s="71"/>
    </row>
    <row r="11" spans="1:8" ht="39.5" hidden="1" thickBot="1">
      <c r="A11" s="75"/>
      <c r="B11" s="76" t="s">
        <v>5</v>
      </c>
      <c r="C11" s="75"/>
      <c r="G11" s="22"/>
    </row>
    <row r="12" spans="1:8" ht="15.5" hidden="1" thickTop="1" thickBot="1">
      <c r="A12" s="75"/>
      <c r="B12" s="77" t="s">
        <v>6</v>
      </c>
      <c r="C12" s="75"/>
      <c r="G12" s="22"/>
    </row>
    <row r="13" spans="1:8" ht="43.5" hidden="1">
      <c r="A13" s="75"/>
      <c r="B13" s="78" t="s">
        <v>7</v>
      </c>
      <c r="C13" s="75"/>
      <c r="G13" s="22"/>
    </row>
    <row r="14" spans="1:8" hidden="1">
      <c r="A14" s="75"/>
      <c r="B14" s="78" t="s">
        <v>8</v>
      </c>
      <c r="C14" s="75"/>
      <c r="G14" s="22"/>
    </row>
    <row r="15" spans="1:8" ht="43.5" hidden="1">
      <c r="A15" s="75"/>
      <c r="B15" s="79" t="s">
        <v>9</v>
      </c>
      <c r="C15" s="75"/>
      <c r="G15" s="22"/>
    </row>
    <row r="16" spans="1:8" ht="43.5" hidden="1">
      <c r="A16" s="75"/>
      <c r="B16" s="79" t="s">
        <v>10</v>
      </c>
      <c r="C16" s="75"/>
      <c r="G16" s="22"/>
    </row>
    <row r="17" spans="1:7" ht="29" hidden="1">
      <c r="A17" s="75"/>
      <c r="B17" s="79" t="s">
        <v>11</v>
      </c>
      <c r="C17" s="75"/>
      <c r="G17" s="22"/>
    </row>
    <row r="18" spans="1:7" hidden="1">
      <c r="A18" s="75"/>
      <c r="B18" s="79" t="s">
        <v>12</v>
      </c>
      <c r="C18" s="75"/>
      <c r="G18" s="22"/>
    </row>
    <row r="19" spans="1:7" hidden="1">
      <c r="A19" s="75"/>
      <c r="B19" s="79" t="s">
        <v>13</v>
      </c>
      <c r="C19" s="75"/>
      <c r="G19" s="22"/>
    </row>
    <row r="20" spans="1:7" ht="43.5" hidden="1">
      <c r="A20" s="75"/>
      <c r="B20" s="79" t="s">
        <v>14</v>
      </c>
      <c r="C20" s="75"/>
      <c r="G20" s="22"/>
    </row>
    <row r="21" spans="1:7" ht="43.5" hidden="1">
      <c r="A21" s="75"/>
      <c r="B21" s="79" t="s">
        <v>15</v>
      </c>
      <c r="C21" s="75"/>
      <c r="G21" s="22"/>
    </row>
    <row r="22" spans="1:7" ht="29" hidden="1">
      <c r="A22" s="75"/>
      <c r="B22" s="79" t="s">
        <v>16</v>
      </c>
      <c r="C22" s="75"/>
      <c r="G22" s="22"/>
    </row>
    <row r="23" spans="1:7" hidden="1">
      <c r="A23" s="75"/>
      <c r="B23" s="79"/>
      <c r="C23" s="75"/>
      <c r="G23" s="22"/>
    </row>
    <row r="24" spans="1:7" ht="15" hidden="1" thickBot="1">
      <c r="A24" s="75"/>
      <c r="B24" s="77" t="s">
        <v>17</v>
      </c>
      <c r="C24" s="75"/>
      <c r="G24" s="22"/>
    </row>
    <row r="25" spans="1:7" hidden="1">
      <c r="A25" s="75"/>
      <c r="B25" s="79" t="s">
        <v>18</v>
      </c>
      <c r="C25" s="75"/>
      <c r="G25" s="22"/>
    </row>
    <row r="26" spans="1:7" ht="29" hidden="1">
      <c r="A26" s="75"/>
      <c r="B26" s="79" t="s">
        <v>19</v>
      </c>
      <c r="C26" s="75"/>
      <c r="G26" s="22"/>
    </row>
    <row r="27" spans="1:7" ht="29" hidden="1">
      <c r="A27" s="75"/>
      <c r="B27" s="79" t="s">
        <v>20</v>
      </c>
      <c r="C27" s="75"/>
      <c r="G27" s="22"/>
    </row>
    <row r="28" spans="1:7" hidden="1">
      <c r="A28" s="75"/>
      <c r="B28" s="79"/>
      <c r="C28" s="75"/>
      <c r="G28" s="22"/>
    </row>
    <row r="29" spans="1:7" ht="15" hidden="1" thickBot="1">
      <c r="A29" s="75"/>
      <c r="B29" s="77" t="s">
        <v>21</v>
      </c>
      <c r="C29" s="75"/>
      <c r="G29" s="22"/>
    </row>
    <row r="30" spans="1:7" ht="58" hidden="1">
      <c r="A30" s="75"/>
      <c r="B30" s="78" t="s">
        <v>22</v>
      </c>
      <c r="C30" s="75"/>
      <c r="G30" s="22"/>
    </row>
    <row r="31" spans="1:7" ht="29" hidden="1">
      <c r="A31" s="75"/>
      <c r="B31" s="79" t="s">
        <v>23</v>
      </c>
      <c r="C31" s="75"/>
      <c r="G31" s="22"/>
    </row>
    <row r="32" spans="1:7" hidden="1">
      <c r="A32" s="75"/>
      <c r="B32" s="79" t="s">
        <v>24</v>
      </c>
      <c r="C32" s="75"/>
      <c r="G32" s="22"/>
    </row>
    <row r="33" spans="1:7" hidden="1">
      <c r="A33" s="75"/>
      <c r="B33" s="79" t="s">
        <v>25</v>
      </c>
      <c r="C33" s="75"/>
      <c r="G33" s="22"/>
    </row>
    <row r="34" spans="1:7" ht="29" hidden="1">
      <c r="A34" s="75"/>
      <c r="B34" s="79" t="s">
        <v>26</v>
      </c>
      <c r="C34" s="75"/>
      <c r="G34" s="22"/>
    </row>
    <row r="35" spans="1:7" ht="29" hidden="1">
      <c r="A35" s="75"/>
      <c r="B35" s="79" t="s">
        <v>27</v>
      </c>
      <c r="C35" s="75"/>
      <c r="G35" s="22"/>
    </row>
    <row r="36" spans="1:7" hidden="1">
      <c r="A36" s="75"/>
      <c r="B36" s="79"/>
      <c r="C36" s="75"/>
      <c r="G36" s="22"/>
    </row>
    <row r="37" spans="1:7" ht="15" hidden="1" thickBot="1">
      <c r="A37" s="75"/>
      <c r="B37" s="77" t="s">
        <v>28</v>
      </c>
      <c r="C37" s="75"/>
      <c r="G37" s="22"/>
    </row>
    <row r="38" spans="1:7" ht="43.5" hidden="1">
      <c r="A38" s="75"/>
      <c r="B38" s="79" t="s">
        <v>29</v>
      </c>
      <c r="C38" s="75"/>
      <c r="G38" s="22"/>
    </row>
    <row r="39" spans="1:7" hidden="1">
      <c r="A39" s="75"/>
      <c r="B39" s="79"/>
      <c r="C39" s="75"/>
      <c r="G39" s="22"/>
    </row>
    <row r="40" spans="1:7" ht="29.5" hidden="1" thickBot="1">
      <c r="A40" s="75"/>
      <c r="B40" s="77" t="s">
        <v>30</v>
      </c>
      <c r="C40" s="75"/>
      <c r="G40" s="22"/>
    </row>
    <row r="41" spans="1:7" ht="102" hidden="1" thickBot="1">
      <c r="A41" s="75"/>
      <c r="B41" s="80" t="s">
        <v>31</v>
      </c>
      <c r="C41" s="75"/>
      <c r="G41" s="22"/>
    </row>
  </sheetData>
  <sheetProtection algorithmName="SHA-512" hashValue="XSCV/KK4Pvs74aCcHyK34pbM5gGbLle6EesFb5/DC6ETZBlTs65Wk3z3I/+0CoZSuHzSxheZE29K64phRoGbEA==" saltValue="Xj/7I5T51/IN6QVTSbyOWQ==" spinCount="100000" sheet="1" selectLockedCells="1" selectUnlockedCells="1"/>
  <mergeCells count="6">
    <mergeCell ref="G6:G9"/>
    <mergeCell ref="B10:D10"/>
    <mergeCell ref="B4:D4"/>
    <mergeCell ref="B6:D6"/>
    <mergeCell ref="B7:D7"/>
    <mergeCell ref="B9:D9"/>
  </mergeCells>
  <pageMargins left="0.70866141732283472" right="0.70866141732283472" top="0.74803149606299213" bottom="0.74803149606299213" header="0.31496062992125984" footer="0.31496062992125984"/>
  <pageSetup paperSize="9" scale="71" orientation="portrait" r:id="rId1"/>
  <headerFooter>
    <oddHeader>&amp;C&amp;F</oddHeader>
    <oddFooter>&amp;LVersion 1.0 / Centre de compétences Fritic &amp;C&amp;A&amp;RImprimé le &amp;D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62C1-9FFA-4F37-8A3F-61E821BC932B}">
  <sheetPr codeName="Feuil1">
    <pageSetUpPr fitToPage="1"/>
  </sheetPr>
  <dimension ref="A1:AW114"/>
  <sheetViews>
    <sheetView showGridLines="0" showRowColHeaders="0" zoomScaleNormal="100" workbookViewId="0">
      <selection activeCell="D18" sqref="D18"/>
    </sheetView>
  </sheetViews>
  <sheetFormatPr baseColWidth="10" defaultColWidth="11.453125" defaultRowHeight="14.5"/>
  <cols>
    <col min="1" max="1" width="5.453125" customWidth="1"/>
    <col min="2" max="2" width="65.81640625" customWidth="1"/>
    <col min="3" max="3" width="14" style="26" customWidth="1"/>
    <col min="4" max="4" width="21.453125" style="26" customWidth="1"/>
    <col min="5" max="5" width="21.453125" customWidth="1"/>
    <col min="6" max="6" width="4.1796875" customWidth="1"/>
    <col min="7" max="7" width="21.453125" style="91" hidden="1" customWidth="1"/>
    <col min="8" max="8" width="8.453125" style="95" hidden="1" customWidth="1"/>
    <col min="9" max="9" width="23.81640625" hidden="1" customWidth="1"/>
    <col min="10" max="10" width="20.453125" hidden="1" customWidth="1"/>
    <col min="11" max="11" width="19.81640625" customWidth="1"/>
    <col min="12" max="16" width="13.81640625" customWidth="1"/>
    <col min="17" max="18" width="15.453125" customWidth="1"/>
    <col min="19" max="19" width="11.453125" customWidth="1"/>
    <col min="40" max="40" width="9.453125" customWidth="1"/>
    <col min="41" max="41" width="24.453125" customWidth="1"/>
    <col min="42" max="42" width="16.453125" customWidth="1"/>
    <col min="43" max="47" width="13.81640625" customWidth="1"/>
    <col min="48" max="49" width="15.453125" customWidth="1"/>
    <col min="50" max="50" width="13.81640625" bestFit="1" customWidth="1"/>
  </cols>
  <sheetData>
    <row r="1" spans="1:13" s="39" customFormat="1" ht="66" customHeight="1">
      <c r="C1" s="40"/>
      <c r="D1" s="40"/>
      <c r="H1" s="40"/>
    </row>
    <row r="2" spans="1:13" s="34" customFormat="1" ht="57" customHeight="1">
      <c r="B2" s="38" t="s">
        <v>32</v>
      </c>
      <c r="C2" s="35"/>
      <c r="D2" s="36"/>
      <c r="H2" s="36"/>
    </row>
    <row r="3" spans="1:13" s="37" customFormat="1" ht="17.25" customHeight="1">
      <c r="A3" s="50"/>
      <c r="B3" s="50"/>
      <c r="C3" s="50"/>
      <c r="D3" s="50"/>
      <c r="E3" s="41"/>
      <c r="F3" s="41"/>
      <c r="G3" s="41"/>
      <c r="H3" s="96"/>
      <c r="I3" s="41"/>
      <c r="J3" s="50"/>
    </row>
    <row r="4" spans="1:13" ht="30" customHeight="1">
      <c r="A4" s="50"/>
      <c r="B4" s="152" t="s">
        <v>33</v>
      </c>
      <c r="C4" s="152"/>
      <c r="D4" s="152"/>
      <c r="E4" s="152"/>
      <c r="F4" s="30"/>
      <c r="G4" s="30"/>
      <c r="H4" s="97"/>
      <c r="I4" s="30"/>
      <c r="J4" s="50"/>
    </row>
    <row r="5" spans="1:13">
      <c r="A5" s="50"/>
      <c r="B5" s="50"/>
      <c r="C5" s="50"/>
      <c r="D5" s="50"/>
      <c r="E5" s="25"/>
      <c r="F5" s="25"/>
      <c r="G5" s="25"/>
      <c r="H5" s="29"/>
      <c r="I5" s="25"/>
      <c r="J5" s="50"/>
    </row>
    <row r="6" spans="1:13">
      <c r="A6" s="50"/>
      <c r="B6" s="51" t="s">
        <v>34</v>
      </c>
      <c r="C6" s="82">
        <v>1</v>
      </c>
      <c r="D6" s="50"/>
      <c r="E6" s="50"/>
      <c r="F6" s="50"/>
      <c r="J6" s="166" t="s">
        <v>35</v>
      </c>
    </row>
    <row r="7" spans="1:13" ht="19" customHeight="1">
      <c r="A7" s="50"/>
      <c r="B7" s="51" t="s">
        <v>36</v>
      </c>
      <c r="C7" s="82">
        <v>1</v>
      </c>
      <c r="D7" s="50"/>
      <c r="E7" s="50"/>
      <c r="F7" s="50"/>
      <c r="J7" s="166"/>
    </row>
    <row r="8" spans="1:13">
      <c r="A8" s="50"/>
      <c r="B8" s="50"/>
      <c r="C8" s="50"/>
      <c r="D8" s="50"/>
      <c r="E8" s="50"/>
      <c r="F8" s="50"/>
      <c r="J8" s="166"/>
    </row>
    <row r="9" spans="1:13">
      <c r="A9" s="50"/>
      <c r="B9" s="51" t="s">
        <v>37</v>
      </c>
      <c r="C9" s="82">
        <v>1</v>
      </c>
      <c r="D9" s="50"/>
      <c r="E9" s="50"/>
      <c r="F9" s="50"/>
      <c r="J9" s="166"/>
    </row>
    <row r="10" spans="1:13">
      <c r="A10" s="50"/>
      <c r="B10" s="51" t="s">
        <v>38</v>
      </c>
      <c r="C10" s="82">
        <v>1</v>
      </c>
      <c r="D10" s="50"/>
      <c r="E10" s="50"/>
      <c r="F10" s="50"/>
      <c r="J10" s="166"/>
    </row>
    <row r="11" spans="1:13">
      <c r="A11" s="50"/>
      <c r="B11" s="52" t="s">
        <v>39</v>
      </c>
      <c r="C11" s="53">
        <f>C9+C10</f>
        <v>2</v>
      </c>
      <c r="D11" s="50"/>
      <c r="E11" s="50"/>
      <c r="F11" s="50"/>
      <c r="J11" s="166"/>
    </row>
    <row r="12" spans="1:13">
      <c r="A12" s="50"/>
      <c r="B12" s="51"/>
      <c r="C12" s="54"/>
      <c r="D12" s="50"/>
      <c r="E12" s="50"/>
      <c r="F12" s="50"/>
      <c r="J12" s="166"/>
    </row>
    <row r="13" spans="1:13" ht="15" customHeight="1">
      <c r="A13" s="50"/>
      <c r="B13" s="148" t="s">
        <v>40</v>
      </c>
      <c r="C13" s="126"/>
      <c r="D13" s="169" t="s">
        <v>41</v>
      </c>
      <c r="E13" s="170"/>
      <c r="F13" s="50"/>
      <c r="G13" s="92"/>
      <c r="H13" s="92"/>
      <c r="J13" s="166"/>
      <c r="M13" s="33"/>
    </row>
    <row r="14" spans="1:13" ht="24" customHeight="1">
      <c r="A14" s="55"/>
      <c r="B14" s="167"/>
      <c r="C14" s="127"/>
      <c r="D14" s="171"/>
      <c r="E14" s="172"/>
      <c r="F14" s="50"/>
      <c r="G14" s="27" t="s">
        <v>42</v>
      </c>
      <c r="H14" s="98"/>
      <c r="I14" s="27" t="s">
        <v>43</v>
      </c>
    </row>
    <row r="15" spans="1:13">
      <c r="A15" s="55"/>
      <c r="B15" s="168"/>
      <c r="C15" s="140" t="s">
        <v>44</v>
      </c>
      <c r="D15" s="141" t="s">
        <v>45</v>
      </c>
      <c r="E15" s="142" t="s">
        <v>46</v>
      </c>
      <c r="F15" s="50"/>
      <c r="G15" s="93"/>
      <c r="H15" s="93"/>
      <c r="I15" s="28" t="s">
        <v>47</v>
      </c>
      <c r="J15" t="s">
        <v>48</v>
      </c>
    </row>
    <row r="16" spans="1:13" ht="4" customHeight="1">
      <c r="A16" s="55"/>
      <c r="B16" s="56"/>
      <c r="C16" s="83"/>
      <c r="D16" s="84"/>
      <c r="E16" s="85"/>
      <c r="F16" s="50"/>
      <c r="G16" s="93"/>
      <c r="H16" s="93"/>
      <c r="I16" s="28"/>
    </row>
    <row r="17" spans="1:10" ht="16" customHeight="1">
      <c r="A17" s="55"/>
      <c r="B17" s="131" t="s">
        <v>49</v>
      </c>
      <c r="C17" s="112"/>
      <c r="D17" s="113"/>
      <c r="E17" s="114"/>
      <c r="F17" s="50"/>
      <c r="G17" s="94"/>
      <c r="H17" s="99"/>
      <c r="I17" s="25"/>
    </row>
    <row r="18" spans="1:10" ht="16" customHeight="1">
      <c r="A18" s="55"/>
      <c r="B18" s="45" t="s">
        <v>50</v>
      </c>
      <c r="C18" s="121">
        <f>TotalSalles</f>
        <v>2</v>
      </c>
      <c r="D18" s="110">
        <v>0</v>
      </c>
      <c r="E18" s="111">
        <f>$C$11-D18</f>
        <v>2</v>
      </c>
      <c r="F18" s="50" t="str">
        <f>IF(D18&gt;$C$11,"Attention-ERREUR DE CALCUL! Le nombre existant dépasse le Total des salles à équiper ","")</f>
        <v/>
      </c>
      <c r="G18" s="100">
        <f>E18*J18</f>
        <v>4000</v>
      </c>
      <c r="H18" s="101" t="s">
        <v>51</v>
      </c>
      <c r="I18" s="102">
        <f>SUM(D18:E18)*J18</f>
        <v>4000</v>
      </c>
      <c r="J18" s="103">
        <v>2000</v>
      </c>
    </row>
    <row r="19" spans="1:10" ht="16" customHeight="1">
      <c r="A19" s="55"/>
      <c r="B19" s="45" t="s">
        <v>52</v>
      </c>
      <c r="C19" s="122">
        <f>TotalSalles</f>
        <v>2</v>
      </c>
      <c r="D19" s="89">
        <v>0</v>
      </c>
      <c r="E19" s="143">
        <f>C11-D19</f>
        <v>2</v>
      </c>
      <c r="F19" s="50" t="str">
        <f>IF(D19&gt;$C$11,"Attention-ERREUR DE CALCUL! Le nombre existant dépasse le Total des salles à équiper ","")</f>
        <v/>
      </c>
      <c r="G19" s="100">
        <f>E19*J19</f>
        <v>2000</v>
      </c>
      <c r="H19" s="101" t="s">
        <v>51</v>
      </c>
      <c r="I19" s="102">
        <f>SUM(D19:E19)*J19</f>
        <v>2000</v>
      </c>
      <c r="J19" s="103">
        <v>1000</v>
      </c>
    </row>
    <row r="20" spans="1:10" ht="16" customHeight="1">
      <c r="A20" s="55"/>
      <c r="B20" s="145" t="s">
        <v>53</v>
      </c>
      <c r="C20" s="124">
        <f>Nb_Bat</f>
        <v>1</v>
      </c>
      <c r="D20" s="173">
        <f>C20</f>
        <v>1</v>
      </c>
      <c r="E20" s="174"/>
      <c r="F20" s="50"/>
      <c r="G20" s="95"/>
      <c r="H20" s="95" t="s">
        <v>54</v>
      </c>
      <c r="I20" s="102">
        <f>D20*J20</f>
        <v>500</v>
      </c>
      <c r="J20" s="103">
        <v>500</v>
      </c>
    </row>
    <row r="21" spans="1:10" ht="16" customHeight="1">
      <c r="A21" s="55"/>
      <c r="B21" s="46" t="s">
        <v>55</v>
      </c>
      <c r="C21" s="124">
        <f>TotalSalles</f>
        <v>2</v>
      </c>
      <c r="D21" s="89">
        <v>0</v>
      </c>
      <c r="E21" s="143">
        <f>C11-D21</f>
        <v>2</v>
      </c>
      <c r="F21" s="50" t="str">
        <f>IF(D21&gt;$C$11,"Attention-ERREUR DE CALCUL! Le nombre existant dépasse le Total des salles à équiper ","")</f>
        <v/>
      </c>
      <c r="G21" s="102">
        <f>E21*J21</f>
        <v>1000</v>
      </c>
      <c r="H21" s="104" t="s">
        <v>51</v>
      </c>
      <c r="I21" s="102">
        <f>SUM(D21:E21)*J21</f>
        <v>1000</v>
      </c>
      <c r="J21" s="103">
        <v>500</v>
      </c>
    </row>
    <row r="22" spans="1:10" ht="16" customHeight="1">
      <c r="A22" s="55"/>
      <c r="B22" s="46" t="s">
        <v>56</v>
      </c>
      <c r="C22" s="124">
        <f>TotalEtages</f>
        <v>1</v>
      </c>
      <c r="D22" s="89">
        <v>0</v>
      </c>
      <c r="E22" s="90">
        <f>(C7-D22)</f>
        <v>1</v>
      </c>
      <c r="F22" s="50" t="str">
        <f>IF(D22&gt;$C$11,"Attention-ERREUR DE CALCUL! Le nombre existant dépasse le Total des salles à équiper ","")</f>
        <v/>
      </c>
      <c r="G22" s="102">
        <f>E22*0.5*J22</f>
        <v>1250</v>
      </c>
      <c r="H22" s="104" t="s">
        <v>51</v>
      </c>
      <c r="I22" s="102">
        <f>SUM(D22:E22)*J22</f>
        <v>2500</v>
      </c>
      <c r="J22" s="103">
        <v>2500</v>
      </c>
    </row>
    <row r="23" spans="1:10" ht="16" customHeight="1">
      <c r="A23" s="55"/>
      <c r="B23" s="46" t="s">
        <v>57</v>
      </c>
      <c r="C23" s="124">
        <f>TotalEtages</f>
        <v>1</v>
      </c>
      <c r="D23" s="89">
        <v>0</v>
      </c>
      <c r="E23" s="143">
        <f>C7-D23</f>
        <v>1</v>
      </c>
      <c r="F23" s="50" t="str">
        <f>IF(D23&gt;$C$11,"Attention-ERREUR DE CALCUL! Le nombre existant dépasse le Total des salles à équiper ","")</f>
        <v/>
      </c>
      <c r="G23" s="105">
        <f>E23*J23</f>
        <v>1000</v>
      </c>
      <c r="H23" s="106" t="s">
        <v>51</v>
      </c>
      <c r="I23" s="102">
        <f>SUM(D23:E23)*J23</f>
        <v>1000</v>
      </c>
      <c r="J23" s="103">
        <v>1000</v>
      </c>
    </row>
    <row r="24" spans="1:10" ht="16" customHeight="1">
      <c r="A24" s="55"/>
      <c r="B24" s="46" t="s">
        <v>58</v>
      </c>
      <c r="C24" s="124">
        <f>Nb_Bat</f>
        <v>1</v>
      </c>
      <c r="D24" s="89">
        <v>0</v>
      </c>
      <c r="E24" s="90">
        <f>C6-D24</f>
        <v>1</v>
      </c>
      <c r="F24" s="50" t="str">
        <f>IF(D24&gt;$C$11,"Attention-ERREUR DE CALCUL! Le nombre existant dépasse le Total des salles à équiper ","")</f>
        <v/>
      </c>
      <c r="G24" s="105">
        <f>E24*J24</f>
        <v>750</v>
      </c>
      <c r="H24" s="106" t="s">
        <v>51</v>
      </c>
      <c r="I24" s="102">
        <f>SUM(D24:E24)*J24</f>
        <v>750</v>
      </c>
      <c r="J24" s="103">
        <v>750</v>
      </c>
    </row>
    <row r="25" spans="1:10" ht="16" customHeight="1">
      <c r="A25" s="55"/>
      <c r="B25" s="46" t="s">
        <v>59</v>
      </c>
      <c r="C25" s="124">
        <f>Nb_Bat</f>
        <v>1</v>
      </c>
      <c r="D25" s="173">
        <f>C25</f>
        <v>1</v>
      </c>
      <c r="E25" s="174"/>
      <c r="F25" s="50"/>
      <c r="G25" s="95"/>
      <c r="H25" s="95" t="s">
        <v>54</v>
      </c>
      <c r="I25" s="105">
        <f>D25*J25+(D25-1)*22</f>
        <v>360</v>
      </c>
      <c r="J25" s="138">
        <f>(30*12)</f>
        <v>360</v>
      </c>
    </row>
    <row r="26" spans="1:10" ht="16" customHeight="1">
      <c r="A26" s="55"/>
      <c r="B26" s="46" t="s">
        <v>60</v>
      </c>
      <c r="C26" s="128">
        <f>TotalEtages</f>
        <v>1</v>
      </c>
      <c r="D26" s="176">
        <f>C26</f>
        <v>1</v>
      </c>
      <c r="E26" s="177"/>
      <c r="F26" s="50"/>
      <c r="G26" s="95"/>
      <c r="H26" s="95" t="s">
        <v>54</v>
      </c>
      <c r="I26" s="105">
        <f>D26*J26</f>
        <v>500</v>
      </c>
      <c r="J26" s="103">
        <v>500</v>
      </c>
    </row>
    <row r="27" spans="1:10" ht="16" customHeight="1">
      <c r="A27" s="55"/>
      <c r="B27" s="131" t="s">
        <v>61</v>
      </c>
      <c r="C27" s="112"/>
      <c r="D27" s="113"/>
      <c r="E27" s="114"/>
      <c r="F27" s="50"/>
      <c r="G27" s="94"/>
      <c r="H27" s="99"/>
      <c r="I27" s="108"/>
      <c r="J27" s="108"/>
    </row>
    <row r="28" spans="1:10" ht="16" customHeight="1">
      <c r="A28" s="55"/>
      <c r="B28" s="47" t="s">
        <v>62</v>
      </c>
      <c r="C28" s="123">
        <f>TotalSalles</f>
        <v>2</v>
      </c>
      <c r="D28" s="87">
        <v>0</v>
      </c>
      <c r="E28" s="88">
        <f>$C$11-D28</f>
        <v>2</v>
      </c>
      <c r="F28" s="50" t="str">
        <f>IF(D28&gt;$C$11,"Attention-ERREUR DE CALCUL! Le nombre existant dépasse le Total des salles à équiper ","")</f>
        <v/>
      </c>
      <c r="G28" s="102">
        <f>E28*J28</f>
        <v>1200</v>
      </c>
      <c r="H28" s="104" t="s">
        <v>51</v>
      </c>
      <c r="J28" s="137">
        <v>600</v>
      </c>
    </row>
    <row r="29" spans="1:10" ht="16" customHeight="1">
      <c r="A29" s="55"/>
      <c r="B29" s="47" t="s">
        <v>63</v>
      </c>
      <c r="C29" s="124">
        <f>ROUNDUP(TotalSalles/3,0)</f>
        <v>1</v>
      </c>
      <c r="D29" s="89">
        <v>0</v>
      </c>
      <c r="E29" s="143">
        <f>ROUNDUP($C$11/3,0)-D29</f>
        <v>1</v>
      </c>
      <c r="F29" s="50" t="str">
        <f>IF(ROUNDUP($C$11/3,0)&lt;D29,"Attention-ERREUR DE CALCUL! Le nombre existant dépasse le Total des salles à équiper ","")</f>
        <v/>
      </c>
      <c r="G29" s="102">
        <f>E29*J29</f>
        <v>700</v>
      </c>
      <c r="H29" s="104" t="s">
        <v>51</v>
      </c>
      <c r="J29" s="109">
        <v>700</v>
      </c>
    </row>
    <row r="30" spans="1:10" ht="16" customHeight="1">
      <c r="A30" s="55"/>
      <c r="B30" s="46" t="s">
        <v>64</v>
      </c>
      <c r="C30" s="129">
        <f>TotalSalles</f>
        <v>2</v>
      </c>
      <c r="D30" s="119">
        <v>0</v>
      </c>
      <c r="E30" s="120">
        <f>$C$11-D30</f>
        <v>2</v>
      </c>
      <c r="F30" s="50" t="str">
        <f>IF(D30&gt;$C$9,"Attention-ERREUR DE CALCUL! Le nombre existant dépasse le Total des salles à équiper ","")</f>
        <v/>
      </c>
      <c r="G30" s="102">
        <f>E30*J30</f>
        <v>1000</v>
      </c>
      <c r="H30" s="104" t="s">
        <v>51</v>
      </c>
      <c r="J30" s="109">
        <v>500</v>
      </c>
    </row>
    <row r="31" spans="1:10" ht="16" customHeight="1">
      <c r="A31" s="55"/>
      <c r="B31" s="132" t="s">
        <v>65</v>
      </c>
      <c r="C31" s="118"/>
      <c r="D31" s="113"/>
      <c r="E31" s="86"/>
      <c r="F31" s="50"/>
      <c r="G31" s="94"/>
      <c r="H31" s="99"/>
    </row>
    <row r="32" spans="1:10" ht="16" customHeight="1">
      <c r="A32" s="55"/>
      <c r="B32" s="48" t="s">
        <v>66</v>
      </c>
      <c r="C32" s="130">
        <f t="shared" ref="C32:C37" si="0">TotalSalles</f>
        <v>2</v>
      </c>
      <c r="D32" s="87">
        <v>0</v>
      </c>
      <c r="E32" s="88">
        <f>$C$11-D32</f>
        <v>2</v>
      </c>
      <c r="F32" s="50" t="str">
        <f t="shared" ref="F32:F37" si="1">IF(D32&gt;$C$11,"Attention-ERREUR DE CALCUL! Le nombre existant dépasse le Total des salles à équiper ","")</f>
        <v/>
      </c>
      <c r="G32" s="102">
        <f>E32*'Récapitulatif financier'!B20</f>
        <v>10000</v>
      </c>
      <c r="H32" s="104" t="s">
        <v>51</v>
      </c>
      <c r="I32" s="102">
        <f>SUM(D32:E32)*'Récapitulatif financier'!B20</f>
        <v>10000</v>
      </c>
      <c r="J32" s="103">
        <v>5000</v>
      </c>
    </row>
    <row r="33" spans="1:10" ht="16" customHeight="1">
      <c r="A33" s="55"/>
      <c r="B33" s="47" t="s">
        <v>67</v>
      </c>
      <c r="C33" s="124">
        <f t="shared" si="0"/>
        <v>2</v>
      </c>
      <c r="D33" s="89">
        <v>0</v>
      </c>
      <c r="E33" s="143">
        <f>$C$11-D33</f>
        <v>2</v>
      </c>
      <c r="F33" s="50" t="str">
        <f t="shared" si="1"/>
        <v/>
      </c>
      <c r="G33" s="102">
        <f>E33*J33</f>
        <v>1000</v>
      </c>
      <c r="H33" s="104" t="s">
        <v>51</v>
      </c>
      <c r="I33" s="102">
        <f>SUM(D33:E33)*J33</f>
        <v>1000</v>
      </c>
      <c r="J33" s="103">
        <v>500</v>
      </c>
    </row>
    <row r="34" spans="1:10" ht="16" customHeight="1">
      <c r="A34" s="55"/>
      <c r="B34" s="47" t="s">
        <v>68</v>
      </c>
      <c r="C34" s="124">
        <f t="shared" si="0"/>
        <v>2</v>
      </c>
      <c r="D34" s="89">
        <v>0</v>
      </c>
      <c r="E34" s="143">
        <f t="shared" ref="E34:E37" si="2">$C$11-D34</f>
        <v>2</v>
      </c>
      <c r="F34" s="50" t="str">
        <f t="shared" si="1"/>
        <v/>
      </c>
      <c r="G34" s="102">
        <f>E34*J34</f>
        <v>1400</v>
      </c>
      <c r="H34" s="104" t="s">
        <v>51</v>
      </c>
      <c r="I34" s="102">
        <f>SUM(D34:E34)*J34</f>
        <v>1400</v>
      </c>
      <c r="J34" s="103">
        <v>700</v>
      </c>
    </row>
    <row r="35" spans="1:10" ht="16" customHeight="1">
      <c r="A35" s="55"/>
      <c r="B35" s="47" t="s">
        <v>69</v>
      </c>
      <c r="C35" s="124">
        <f t="shared" si="0"/>
        <v>2</v>
      </c>
      <c r="D35" s="89">
        <v>0</v>
      </c>
      <c r="E35" s="143">
        <f t="shared" si="2"/>
        <v>2</v>
      </c>
      <c r="F35" s="50" t="str">
        <f t="shared" si="1"/>
        <v/>
      </c>
      <c r="G35" s="102">
        <f>E35*J35</f>
        <v>400</v>
      </c>
      <c r="H35" s="104" t="s">
        <v>51</v>
      </c>
      <c r="I35" s="102">
        <f>SUM(D35:E35)*J35</f>
        <v>400</v>
      </c>
      <c r="J35" s="103">
        <v>200</v>
      </c>
    </row>
    <row r="36" spans="1:10" ht="16" customHeight="1">
      <c r="A36" s="55"/>
      <c r="B36" s="47" t="s">
        <v>70</v>
      </c>
      <c r="C36" s="124">
        <f t="shared" si="0"/>
        <v>2</v>
      </c>
      <c r="D36" s="89">
        <v>0</v>
      </c>
      <c r="E36" s="143">
        <f t="shared" si="2"/>
        <v>2</v>
      </c>
      <c r="F36" s="50" t="str">
        <f t="shared" si="1"/>
        <v/>
      </c>
      <c r="G36" s="102">
        <f>E36*J36</f>
        <v>600</v>
      </c>
      <c r="H36" s="104" t="s">
        <v>51</v>
      </c>
      <c r="I36" s="102">
        <f>SUM(D36:E36)*J36</f>
        <v>600</v>
      </c>
      <c r="J36" s="103">
        <v>300</v>
      </c>
    </row>
    <row r="37" spans="1:10" ht="16" customHeight="1">
      <c r="A37" s="55"/>
      <c r="B37" s="47" t="s">
        <v>71</v>
      </c>
      <c r="C37" s="124">
        <f t="shared" si="0"/>
        <v>2</v>
      </c>
      <c r="D37" s="89">
        <v>0</v>
      </c>
      <c r="E37" s="143">
        <f t="shared" si="2"/>
        <v>2</v>
      </c>
      <c r="F37" s="50" t="str">
        <f t="shared" si="1"/>
        <v/>
      </c>
      <c r="G37" s="102">
        <f>E37*J37</f>
        <v>2308</v>
      </c>
      <c r="H37" s="104" t="s">
        <v>51</v>
      </c>
      <c r="I37" s="102">
        <f>SUM(D37:E37)*J37</f>
        <v>2308</v>
      </c>
      <c r="J37" s="103">
        <v>1154</v>
      </c>
    </row>
    <row r="38" spans="1:10" ht="16" customHeight="1">
      <c r="A38" s="55"/>
      <c r="B38" s="131" t="s">
        <v>72</v>
      </c>
      <c r="C38" s="115"/>
      <c r="D38" s="116"/>
      <c r="E38" s="117"/>
      <c r="F38" s="50"/>
      <c r="G38" s="94"/>
      <c r="H38" s="99"/>
    </row>
    <row r="39" spans="1:10" ht="16" customHeight="1">
      <c r="A39" s="55"/>
      <c r="B39" s="49" t="s">
        <v>73</v>
      </c>
      <c r="C39" s="125">
        <f>Nb_Bat</f>
        <v>1</v>
      </c>
      <c r="D39" s="178">
        <f>C39</f>
        <v>1</v>
      </c>
      <c r="E39" s="179"/>
      <c r="F39" s="50"/>
      <c r="G39" s="95"/>
      <c r="H39" s="95" t="s">
        <v>54</v>
      </c>
      <c r="I39" s="102">
        <f>D39*J39</f>
        <v>3200</v>
      </c>
      <c r="J39" s="138">
        <v>3200</v>
      </c>
    </row>
    <row r="40" spans="1:10" ht="16" customHeight="1">
      <c r="A40" s="50"/>
      <c r="B40" s="50"/>
      <c r="C40" s="144"/>
      <c r="D40" s="175"/>
      <c r="E40" s="175"/>
      <c r="F40" s="50"/>
      <c r="I40" s="102"/>
      <c r="J40" s="107"/>
    </row>
    <row r="41" spans="1:10">
      <c r="A41" s="50"/>
      <c r="B41" s="50"/>
      <c r="C41" s="53"/>
      <c r="D41" s="53"/>
      <c r="E41" s="53"/>
      <c r="F41" s="50"/>
      <c r="G41" s="95"/>
    </row>
    <row r="42" spans="1:10">
      <c r="A42" s="50"/>
      <c r="B42" s="165" t="s">
        <v>74</v>
      </c>
      <c r="C42" s="165"/>
      <c r="D42" s="31">
        <f>SUM(G18:G40)</f>
        <v>28608</v>
      </c>
      <c r="E42" s="53"/>
      <c r="F42" s="50"/>
      <c r="G42" s="95"/>
    </row>
    <row r="43" spans="1:10">
      <c r="A43" s="25"/>
      <c r="B43" s="165" t="s">
        <v>75</v>
      </c>
      <c r="C43" s="165"/>
      <c r="D43" s="31">
        <f>SUMIF(H18:H40,"U",I18:I40)</f>
        <v>26958</v>
      </c>
      <c r="E43" s="53"/>
      <c r="F43" s="50"/>
    </row>
    <row r="44" spans="1:10">
      <c r="A44" s="25"/>
      <c r="B44" s="165" t="s">
        <v>76</v>
      </c>
      <c r="C44" s="165"/>
      <c r="D44" s="31">
        <f>SUMIF(H18:H40,"A",I18:I40)</f>
        <v>4560</v>
      </c>
      <c r="E44" s="53"/>
      <c r="F44" s="50"/>
    </row>
    <row r="45" spans="1:10">
      <c r="A45" s="25"/>
      <c r="B45" s="165" t="s">
        <v>77</v>
      </c>
      <c r="C45" s="165"/>
      <c r="D45" s="31">
        <f>D44+D43</f>
        <v>31518</v>
      </c>
      <c r="E45" s="53"/>
      <c r="F45" s="50"/>
    </row>
    <row r="46" spans="1:10">
      <c r="A46" s="25"/>
      <c r="B46" s="25"/>
      <c r="C46" s="29"/>
      <c r="D46" s="32"/>
      <c r="E46" s="53"/>
      <c r="F46" s="50"/>
    </row>
    <row r="47" spans="1:10">
      <c r="A47" s="25"/>
      <c r="B47" s="165" t="s">
        <v>78</v>
      </c>
      <c r="C47" s="165"/>
      <c r="D47" s="31">
        <f>D44/TotalSalles</f>
        <v>2280</v>
      </c>
      <c r="E47" s="53"/>
      <c r="F47" s="50"/>
    </row>
    <row r="48" spans="1:10">
      <c r="A48" s="25"/>
      <c r="B48" s="165" t="s">
        <v>79</v>
      </c>
      <c r="C48" s="165"/>
      <c r="D48" s="31">
        <f>SUM(D43:D44)/TotalSalles</f>
        <v>15759</v>
      </c>
      <c r="E48" s="53"/>
      <c r="F48" s="50"/>
    </row>
    <row r="49" spans="1:49">
      <c r="A49" s="25"/>
      <c r="B49" s="25"/>
      <c r="C49" s="29"/>
      <c r="D49" s="29"/>
      <c r="E49" s="53"/>
      <c r="F49" s="50"/>
    </row>
    <row r="50" spans="1:49" ht="35.25" customHeight="1">
      <c r="A50" s="50"/>
      <c r="B50" s="50"/>
      <c r="C50" s="53"/>
      <c r="D50" s="53"/>
      <c r="E50" s="50"/>
      <c r="F50" s="50"/>
    </row>
    <row r="51" spans="1:49">
      <c r="A51" s="50"/>
      <c r="B51" s="50"/>
      <c r="C51" s="53"/>
      <c r="D51" s="53"/>
      <c r="E51" s="50"/>
      <c r="F51" s="50"/>
    </row>
    <row r="52" spans="1:49" ht="18.5">
      <c r="A52" s="50"/>
      <c r="B52" s="50"/>
      <c r="C52" s="53"/>
      <c r="D52" s="53"/>
      <c r="E52" s="50"/>
      <c r="F52" s="50"/>
      <c r="AO52" s="62"/>
      <c r="AP52" s="153" t="s">
        <v>80</v>
      </c>
      <c r="AQ52" s="154"/>
      <c r="AR52" s="154"/>
      <c r="AS52" s="154"/>
      <c r="AT52" s="154"/>
      <c r="AU52" s="154"/>
      <c r="AV52" s="154"/>
      <c r="AW52" s="155"/>
    </row>
    <row r="53" spans="1:49">
      <c r="A53" s="50"/>
      <c r="B53" s="50"/>
      <c r="C53" s="53"/>
      <c r="D53" s="53"/>
      <c r="E53" s="50"/>
      <c r="F53" s="50"/>
      <c r="AO53" s="81"/>
      <c r="AP53" s="156" t="s">
        <v>81</v>
      </c>
      <c r="AQ53" s="157"/>
      <c r="AR53" s="157"/>
      <c r="AS53" s="157"/>
      <c r="AT53" s="157"/>
      <c r="AU53" s="157"/>
      <c r="AV53" s="157"/>
      <c r="AW53" s="158"/>
    </row>
    <row r="54" spans="1:49">
      <c r="A54" s="50"/>
      <c r="B54" s="50"/>
      <c r="C54" s="53"/>
      <c r="D54" s="53"/>
      <c r="E54" s="50"/>
      <c r="F54" s="50"/>
      <c r="AO54" s="81"/>
      <c r="AP54" s="62">
        <v>2024</v>
      </c>
      <c r="AQ54" s="57">
        <v>2025</v>
      </c>
      <c r="AR54" s="57">
        <v>2026</v>
      </c>
      <c r="AS54" s="57">
        <v>2027</v>
      </c>
      <c r="AT54" s="57">
        <v>2028</v>
      </c>
      <c r="AU54" s="57">
        <v>2029</v>
      </c>
      <c r="AV54" s="57">
        <v>2030</v>
      </c>
      <c r="AW54" s="63">
        <v>2031</v>
      </c>
    </row>
    <row r="55" spans="1:49" ht="29">
      <c r="A55" s="50"/>
      <c r="B55" s="50"/>
      <c r="C55" s="53"/>
      <c r="D55" s="53"/>
      <c r="E55" s="50"/>
      <c r="F55" s="50"/>
      <c r="AO55" s="133"/>
      <c r="AP55" s="134" t="s">
        <v>82</v>
      </c>
      <c r="AQ55" s="135" t="s">
        <v>83</v>
      </c>
      <c r="AR55" s="135" t="s">
        <v>83</v>
      </c>
      <c r="AS55" s="135" t="s">
        <v>83</v>
      </c>
      <c r="AT55" s="135" t="s">
        <v>83</v>
      </c>
      <c r="AU55" s="135" t="s">
        <v>83</v>
      </c>
      <c r="AV55" s="135" t="s">
        <v>83</v>
      </c>
      <c r="AW55" s="136" t="s">
        <v>84</v>
      </c>
    </row>
    <row r="56" spans="1:49">
      <c r="A56" s="50"/>
      <c r="B56" s="50"/>
      <c r="C56" s="53"/>
      <c r="D56" s="53"/>
      <c r="E56" s="50"/>
      <c r="F56" s="50"/>
      <c r="AO56" s="64" t="s">
        <v>85</v>
      </c>
      <c r="AP56" s="64">
        <f>D42+D44</f>
        <v>33168</v>
      </c>
      <c r="AQ56" s="60">
        <f t="shared" ref="AQ56:AV56" si="3">$D44</f>
        <v>4560</v>
      </c>
      <c r="AR56" s="60">
        <f t="shared" si="3"/>
        <v>4560</v>
      </c>
      <c r="AS56" s="60">
        <f t="shared" si="3"/>
        <v>4560</v>
      </c>
      <c r="AT56" s="60">
        <f t="shared" si="3"/>
        <v>4560</v>
      </c>
      <c r="AU56" s="60">
        <f t="shared" si="3"/>
        <v>4560</v>
      </c>
      <c r="AV56" s="60">
        <f t="shared" si="3"/>
        <v>4560</v>
      </c>
      <c r="AW56" s="65">
        <f>$D45</f>
        <v>31518</v>
      </c>
    </row>
    <row r="57" spans="1:49">
      <c r="A57" s="50"/>
      <c r="B57" s="50"/>
      <c r="C57" s="53"/>
      <c r="D57" s="53"/>
      <c r="E57" s="50"/>
      <c r="F57" s="50"/>
    </row>
    <row r="58" spans="1:49" ht="17.5">
      <c r="A58" s="50"/>
      <c r="B58" s="50"/>
      <c r="C58" s="53"/>
      <c r="D58" s="53"/>
      <c r="E58" s="50"/>
      <c r="F58" s="50"/>
      <c r="AO58" s="62"/>
      <c r="AP58" s="159" t="s">
        <v>86</v>
      </c>
      <c r="AQ58" s="160"/>
      <c r="AR58" s="160"/>
      <c r="AS58" s="160"/>
      <c r="AT58" s="160"/>
      <c r="AU58" s="160"/>
      <c r="AV58" s="160"/>
      <c r="AW58" s="161"/>
    </row>
    <row r="59" spans="1:49">
      <c r="A59" s="50"/>
      <c r="B59" s="50"/>
      <c r="C59" s="53"/>
      <c r="D59" s="53"/>
      <c r="E59" s="50"/>
      <c r="F59" s="50"/>
      <c r="AO59" s="81"/>
      <c r="AP59" s="162" t="s">
        <v>87</v>
      </c>
      <c r="AQ59" s="163"/>
      <c r="AR59" s="163"/>
      <c r="AS59" s="163"/>
      <c r="AT59" s="163"/>
      <c r="AU59" s="163"/>
      <c r="AV59" s="163"/>
      <c r="AW59" s="164"/>
    </row>
    <row r="60" spans="1:49">
      <c r="A60" s="50"/>
      <c r="B60" s="50"/>
      <c r="C60" s="53"/>
      <c r="D60" s="53"/>
      <c r="E60" s="50"/>
      <c r="F60" s="50"/>
      <c r="AO60" s="81"/>
      <c r="AP60" s="62">
        <v>2024</v>
      </c>
      <c r="AQ60" s="57">
        <v>2025</v>
      </c>
      <c r="AR60" s="57">
        <v>2026</v>
      </c>
      <c r="AS60" s="57">
        <v>2027</v>
      </c>
      <c r="AT60" s="57">
        <v>2028</v>
      </c>
      <c r="AU60" s="57">
        <v>2029</v>
      </c>
      <c r="AV60" s="57">
        <v>2030</v>
      </c>
      <c r="AW60" s="63">
        <v>2031</v>
      </c>
    </row>
    <row r="61" spans="1:49" ht="29">
      <c r="A61" s="50"/>
      <c r="B61" s="50"/>
      <c r="C61" s="53"/>
      <c r="D61" s="53"/>
      <c r="E61" s="50"/>
      <c r="F61" s="50"/>
      <c r="AO61" s="61"/>
      <c r="AP61" s="134" t="s">
        <v>82</v>
      </c>
      <c r="AQ61" s="135" t="s">
        <v>83</v>
      </c>
      <c r="AR61" s="135" t="s">
        <v>83</v>
      </c>
      <c r="AS61" s="135" t="s">
        <v>83</v>
      </c>
      <c r="AT61" s="135" t="s">
        <v>83</v>
      </c>
      <c r="AU61" s="135" t="s">
        <v>83</v>
      </c>
      <c r="AV61" s="135" t="s">
        <v>83</v>
      </c>
      <c r="AW61" s="136" t="s">
        <v>84</v>
      </c>
    </row>
    <row r="62" spans="1:49">
      <c r="A62" s="50"/>
      <c r="B62" s="50"/>
      <c r="C62" s="53"/>
      <c r="D62" s="53"/>
      <c r="E62" s="50"/>
      <c r="F62" s="50"/>
      <c r="AO62" s="64" t="s">
        <v>85</v>
      </c>
      <c r="AP62" s="66">
        <f>(D42+D44)/TotalSalles</f>
        <v>16584</v>
      </c>
      <c r="AQ62" s="59">
        <f>$D47</f>
        <v>2280</v>
      </c>
      <c r="AR62" s="59">
        <f t="shared" ref="AR62:AV62" si="4">$D47</f>
        <v>2280</v>
      </c>
      <c r="AS62" s="58">
        <f t="shared" si="4"/>
        <v>2280</v>
      </c>
      <c r="AT62" s="66">
        <f t="shared" si="4"/>
        <v>2280</v>
      </c>
      <c r="AU62" s="59">
        <f t="shared" si="4"/>
        <v>2280</v>
      </c>
      <c r="AV62" s="59">
        <f t="shared" si="4"/>
        <v>2280</v>
      </c>
      <c r="AW62" s="59">
        <f>$D48</f>
        <v>15759</v>
      </c>
    </row>
    <row r="63" spans="1:49">
      <c r="A63" s="50"/>
      <c r="B63" s="50"/>
      <c r="C63" s="53"/>
      <c r="D63" s="53"/>
      <c r="E63" s="50"/>
      <c r="F63" s="50"/>
    </row>
    <row r="71" spans="3:12">
      <c r="C71"/>
      <c r="D71"/>
    </row>
    <row r="73" spans="3:12">
      <c r="L73" s="44"/>
    </row>
    <row r="111" spans="3:4">
      <c r="C111"/>
      <c r="D111"/>
    </row>
    <row r="112" spans="3:4">
      <c r="C112"/>
      <c r="D112"/>
    </row>
    <row r="113" spans="11:11">
      <c r="K113" s="42"/>
    </row>
    <row r="114" spans="11:11">
      <c r="K114" s="43"/>
    </row>
  </sheetData>
  <sheetProtection algorithmName="SHA-512" hashValue="HpVXVLKPHcsXx4FXVpKjtFYlEWYNd0uWpnFzl9tMPmRu1ZwuxUEFZDjg3w0vUpez3Mj39FxJUjT+WTstS/st9g==" saltValue="zM+2yPT5OF9PEqQVAQldXQ==" spinCount="100000" sheet="1" selectLockedCells="1"/>
  <mergeCells count="19">
    <mergeCell ref="D26:E26"/>
    <mergeCell ref="D39:E39"/>
    <mergeCell ref="B42:C42"/>
    <mergeCell ref="B4:E4"/>
    <mergeCell ref="AP52:AW52"/>
    <mergeCell ref="AP53:AW53"/>
    <mergeCell ref="AP58:AW58"/>
    <mergeCell ref="AP59:AW59"/>
    <mergeCell ref="B48:C48"/>
    <mergeCell ref="J6:J13"/>
    <mergeCell ref="B47:C47"/>
    <mergeCell ref="B13:B15"/>
    <mergeCell ref="B43:C43"/>
    <mergeCell ref="B44:C44"/>
    <mergeCell ref="B45:C45"/>
    <mergeCell ref="D13:E14"/>
    <mergeCell ref="D20:E20"/>
    <mergeCell ref="D40:E40"/>
    <mergeCell ref="D25:E25"/>
  </mergeCells>
  <conditionalFormatting sqref="G18:J40">
    <cfRule type="expression" dxfId="1" priority="1">
      <formula>$H18="U"</formula>
    </cfRule>
    <cfRule type="expression" dxfId="0" priority="2" stopIfTrue="1">
      <formula>$H18="A"</formula>
    </cfRule>
  </conditionalFormatting>
  <dataValidations count="20">
    <dataValidation type="whole" operator="greaterThanOrEqual" allowBlank="1" showInputMessage="1" showErrorMessage="1" sqref="D25:D26 D39 E19:F19 E21:F24 D20" xr:uid="{1F90A018-5486-4FC8-AA91-8E7E021836C2}">
      <formula1>0</formula1>
    </dataValidation>
    <dataValidation type="decimal" operator="greaterThanOrEqual" showInputMessage="1" showErrorMessage="1" error="Erreur; le nombre de salles ou de bâtiments ou d'étages existants ne peut dépasser le nombre total" sqref="I39:I40 G18:G19 G28:G30 I32:I37 G32:G37 G21:G24 I18:I26" xr:uid="{FE8B2DBF-4F7E-4BB0-B936-ACE1E9FDB4E9}">
      <formula1>0</formula1>
    </dataValidation>
    <dataValidation type="whole" operator="greaterThanOrEqual" allowBlank="1" showInputMessage="1" showErrorMessage="1" promptTitle="Stockwerk-e" prompt="Geben Sie eine Zahl grösser oder gleich 1 ein._x000a__x000a_Die zusammengezählte Anzahl Stockwerke aller Gebäude." sqref="C7" xr:uid="{632FE929-D098-493E-BDE8-7A79C3F12F22}">
      <formula1>1</formula1>
    </dataValidation>
    <dataValidation type="whole" operator="greaterThanOrEqual" allowBlank="1" showInputMessage="1" showErrorMessage="1" promptTitle="Anzahl Zimmer" prompt="Geben Sie eine ganze Zahl grösser oder gleich 0 ein_x000a_" sqref="C10" xr:uid="{90836962-AEA3-45A3-BE45-E133755AFDB7}">
      <formula1>0</formula1>
    </dataValidation>
    <dataValidation type="whole" operator="greaterThanOrEqual" allowBlank="1" showInputMessage="1" showErrorMessage="1" promptTitle="Gebäude" prompt="Geben Sie eine Zahl grösser oder gleich 1 ein._x000a__x000a_Als ein Gebäude gelten_x000a_- ein separater Bau_x000a_oder_x000a_- mehrere Bauten, die zusammen eine verbundenene Einheit am selben Ort ergeben." sqref="C6" xr:uid="{0C8E0CDC-D09D-439B-BE31-DB351C479CE3}">
      <formula1>1</formula1>
    </dataValidation>
    <dataValidation type="whole" operator="greaterThanOrEqual" allowBlank="1" showInputMessage="1" showErrorMessage="1" promptTitle="Material / Infrastruktur" prompt="Geben Sie eine ganze Zahl grösser oder gleich 0 ein._x000a__x000a_1 System pro Zimmer" sqref="D37 D34:D35" xr:uid="{ED8E0D57-D274-421F-85D3-B8436EE5929E}">
      <formula1>0</formula1>
    </dataValidation>
    <dataValidation type="whole" operator="greaterThanOrEqual" allowBlank="1" showInputMessage="1" showErrorMessage="1" promptTitle="Material / Infrastruktur" prompt="Geben Sie eine ganze Zahl grösser oder gleich 0 ein._x000a__x000a_1 System pro Zimmer: Koffer, Wagen, Schränke, usw. Ladestationen für Computer." sqref="D18" xr:uid="{60923A73-2959-4CFF-8A72-F18A239ED4CB}">
      <formula1>0</formula1>
    </dataValidation>
    <dataValidation type="whole" operator="greaterThanOrEqual" allowBlank="1" showInputMessage="1" showErrorMessage="1" promptTitle="Material / Infrastruktur" prompt="Geben Sie eine ganze Zahl grösser oder gleich 0 ein._x000a__x000a_1 WLAN-Accesspoint pro Zimmer." sqref="D19" xr:uid="{401574B9-3CA5-486B-9829-891D15BC585F}">
      <formula1>0</formula1>
    </dataValidation>
    <dataValidation type="whole" operator="greaterThanOrEqual" allowBlank="1" showInputMessage="1" showErrorMessage="1" promptTitle="Material / Infrastruktur" prompt="Geben Sie eine ganze Zahl grösser oder gleich 0 ein._x000a__x000a_1 Kabel, welches durch bereits existierende Kabelkanäle des Zimmers gezogen und installiert wird._x000a_" sqref="D21" xr:uid="{564A7DDA-519C-4378-9A72-6497516FC3B7}">
      <formula1>0</formula1>
    </dataValidation>
    <dataValidation type="whole" operator="greaterThanOrEqual" allowBlank="1" showInputMessage="1" showErrorMessage="1" promptTitle="Material / Infrastruktur" prompt="Geben Sie eine ganze Zahl grösser oder gleich 0 ein._x000a__x000a_1 Switch pro Stockwerk_x000a_" sqref="D22" xr:uid="{215E1ED2-57FB-4357-B315-5A75F3D0D8C4}">
      <formula1>0</formula1>
    </dataValidation>
    <dataValidation type="whole" operator="greaterThanOrEqual" allowBlank="1" showInputMessage="1" showErrorMessage="1" promptTitle="Material / Infrastruktur" prompt="Geben Sie eine ganze Zahl grösser oder gleich 0 ein._x000a__x000a_1 Schrank / Switch" sqref="D23" xr:uid="{F2AA096D-D929-4087-9DDB-C8C4240F2565}">
      <formula1>0</formula1>
    </dataValidation>
    <dataValidation type="whole" operator="greaterThanOrEqual" allowBlank="1" showInputMessage="1" showErrorMessage="1" promptTitle="Material / Infrastruktur" prompt="Geben Sie eine ganze Zahl grösser oder gleich 0 ein._x000a__x000a_1 Zugang pro Gebäude: Berechnung auf der Basis des Produkts Smart Business Connect (SBC) von Swisscom mit dem Rabatt von &quot;Schulen ans Netz&quot; von Swisscom." sqref="D24" xr:uid="{EDAA9D19-5BB5-472F-8AB6-2AB7AE930F08}">
      <formula1>0</formula1>
    </dataValidation>
    <dataValidation type="whole" operator="greaterThanOrEqual" allowBlank="1" showInputMessage="1" showErrorMessage="1" promptTitle="Material / Infrastruktur" prompt="Geben Sie eine ganze Zahl grösser oder gleich 0 ein._x000a__x000a_1 Einheit pro Zimmer (enspricht zwei 230V-Anschlüssen) _x000a_" sqref="D28" xr:uid="{C270AACF-7CE0-4780-B3E5-DB7CB5E20A45}">
      <formula1>0</formula1>
    </dataValidation>
    <dataValidation type="whole" operator="greaterThanOrEqual" allowBlank="1" showInputMessage="1" showErrorMessage="1" promptTitle="Material / Infrastruktur" prompt="Geben Sie eine ganze Zahl grösser oder gleich 0 ein._x000a__x000a_1 Sicherung pro drei Klassenzimmer (min. 2500W)" sqref="D29" xr:uid="{085FB579-EA5B-4F04-B6FD-50778EA67131}">
      <formula1>0</formula1>
    </dataValidation>
    <dataValidation type="whole" operator="greaterThanOrEqual" allowBlank="1" showInputMessage="1" showErrorMessage="1" promptTitle="Material / Infrastruktur" prompt="Geben Sie eine ganze Zahl grösser oder gleich 0 ein._x000a__x000a_1 Einheit pro Zimmer (elektrische Kabel sind in bestehende Kabelkanäle einzuziehen)" sqref="D30" xr:uid="{B1EB76CF-BB40-4FD1-BED3-8FD3AAB26250}">
      <formula1>0</formula1>
    </dataValidation>
    <dataValidation type="whole" operator="greaterThanOrEqual" allowBlank="1" showInputMessage="1" showErrorMessage="1" promptTitle="Material / Infrastruktur" prompt="Geben Sie eine ganze Zahl grösser oder gleich 0 ein._x000a__x000a_1 System mit drahtloser Verbindungsmöglichkeit (z.B. Miracast): Standard- oder (Ultra-)Kurzdistanz-Beamer, LED TV-Bildschirm oder interaktives Whiteboard, interaktiver Beamer._x000a_" sqref="D32" xr:uid="{4B45217B-F099-4395-8329-7F66F07FDACC}">
      <formula1>0</formula1>
    </dataValidation>
    <dataValidation type="whole" operator="greaterThanOrEqual" allowBlank="1" showInputMessage="1" showErrorMessage="1" promptTitle="Material / Infrastruktur" prompt="Geben Sie eine ganze Zahl grösser oder gleich 0 ein._x000a__x000a_1 System pro Zimmer: (Bluetooth) Aktiv-Lautsprecher_x000a_" sqref="D33" xr:uid="{A42CA5C3-D23A-4AC9-B6B0-C5B53E2CD802}">
      <formula1>0</formula1>
    </dataValidation>
    <dataValidation type="whole" operator="greaterThanOrEqual" allowBlank="1" showInputMessage="1" showErrorMessage="1" promptTitle="Material / Infrastruktur" prompt="Geben Sie eine ganze Zahl grösser oder gleich 0 ein._x000a__x000a_1 Set pro Zimmer (Adapter, Reservekabel, Headset, usw.)_x000a_" sqref="D36" xr:uid="{756F6083-CCBC-4BF7-B215-C5B93BFFE3C9}">
      <formula1>0</formula1>
    </dataValidation>
    <dataValidation operator="greaterThanOrEqual" showInputMessage="1" showErrorMessage="1" error="Erreur; le nombre de salles ou de bâtiments ou d'étages existants ne peut dépasser le nombre total" sqref="H1:H1048576" xr:uid="{06523116-FC6B-E048-AB7F-E61EC1EA74EB}"/>
    <dataValidation type="whole" operator="greaterThanOrEqual" allowBlank="1" showInputMessage="1" showErrorMessage="1" promptTitle="Anzahl Zimmer" prompt="Geben Sie eine ganze Zahl grösser oder gleich 0 ein._x000a_" sqref="C9" xr:uid="{3ECB667C-159C-8F43-A57E-34EBAFCB2966}">
      <formula1>0</formula1>
    </dataValidation>
  </dataValidations>
  <pageMargins left="0.70866141732283505" right="0.70866141732283505" top="0.74803149606299202" bottom="0.74803149606299202" header="0.31496062992126" footer="0.31496062992126"/>
  <pageSetup paperSize="9" scale="64" orientation="portrait" r:id="rId1"/>
  <headerFooter>
    <oddHeader>&amp;C&amp;F</oddHeader>
    <oddFooter>&amp;LVersion 1.0 / Centre de compétences Fritic &amp;C&amp;A&amp;RImprimé le &amp;D</oddFooter>
  </headerFooter>
  <ignoredErrors>
    <ignoredError sqref="E29 C29 C20 I20 G22"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8FEBD-E32E-45C2-935F-5F48F01CB346}">
  <sheetPr codeName="Feuil3">
    <pageSetUpPr fitToPage="1"/>
  </sheetPr>
  <dimension ref="A1:I37"/>
  <sheetViews>
    <sheetView zoomScale="160" zoomScaleNormal="160" workbookViewId="0">
      <selection activeCell="F12" sqref="F12"/>
    </sheetView>
  </sheetViews>
  <sheetFormatPr baseColWidth="10" defaultColWidth="11.453125" defaultRowHeight="14.5"/>
  <cols>
    <col min="1" max="1" width="51.453125" customWidth="1"/>
    <col min="2" max="2" width="16.453125" bestFit="1" customWidth="1"/>
    <col min="3" max="3" width="13" bestFit="1" customWidth="1"/>
    <col min="4" max="4" width="15" bestFit="1" customWidth="1"/>
    <col min="5" max="5" width="13.453125" bestFit="1" customWidth="1"/>
    <col min="6" max="6" width="64.453125" style="3" customWidth="1"/>
    <col min="7" max="7" width="10.453125" customWidth="1"/>
  </cols>
  <sheetData>
    <row r="1" spans="1:6">
      <c r="B1" s="1" t="s">
        <v>88</v>
      </c>
      <c r="C1" s="1"/>
      <c r="D1" s="2" t="s">
        <v>89</v>
      </c>
      <c r="E1" s="2"/>
      <c r="F1" s="3" t="s">
        <v>90</v>
      </c>
    </row>
    <row r="2" spans="1:6">
      <c r="A2" t="s">
        <v>91</v>
      </c>
      <c r="B2" s="1">
        <v>1820</v>
      </c>
      <c r="C2" s="4"/>
      <c r="D2" s="2">
        <v>279</v>
      </c>
      <c r="E2" s="5"/>
    </row>
    <row r="3" spans="1:6">
      <c r="B3" s="1" t="s">
        <v>92</v>
      </c>
      <c r="C3" s="1" t="s">
        <v>93</v>
      </c>
      <c r="D3" s="2" t="s">
        <v>92</v>
      </c>
      <c r="E3" s="2" t="s">
        <v>93</v>
      </c>
    </row>
    <row r="4" spans="1:6" ht="14.5" customHeight="1">
      <c r="A4" s="6" t="s">
        <v>6</v>
      </c>
      <c r="B4" s="7"/>
      <c r="C4" s="7"/>
      <c r="D4" s="7"/>
      <c r="E4" s="7"/>
      <c r="F4" s="8"/>
    </row>
    <row r="5" spans="1:6">
      <c r="A5" s="9" t="s">
        <v>94</v>
      </c>
      <c r="B5" s="10">
        <v>2000</v>
      </c>
      <c r="C5" s="10"/>
      <c r="D5" s="11"/>
      <c r="E5" s="10"/>
      <c r="F5" s="3" t="s">
        <v>95</v>
      </c>
    </row>
    <row r="6" spans="1:6">
      <c r="A6" s="9" t="s">
        <v>96</v>
      </c>
      <c r="B6" s="10">
        <v>750</v>
      </c>
      <c r="C6" s="10"/>
      <c r="D6" s="12"/>
      <c r="E6" s="12"/>
      <c r="F6" s="3" t="s">
        <v>97</v>
      </c>
    </row>
    <row r="7" spans="1:6">
      <c r="A7" s="9" t="s">
        <v>98</v>
      </c>
      <c r="B7" s="10">
        <v>250</v>
      </c>
      <c r="C7" s="10"/>
      <c r="D7" s="10"/>
      <c r="E7" s="10"/>
    </row>
    <row r="8" spans="1:6">
      <c r="A8" s="9" t="s">
        <v>99</v>
      </c>
      <c r="B8" s="10">
        <v>500</v>
      </c>
      <c r="C8" s="10"/>
      <c r="D8" s="10"/>
      <c r="E8" s="10"/>
    </row>
    <row r="9" spans="1:6" ht="17.25" customHeight="1">
      <c r="A9" s="9" t="s">
        <v>100</v>
      </c>
      <c r="B9" s="10"/>
      <c r="C9" s="10"/>
      <c r="D9" s="10">
        <v>2500</v>
      </c>
      <c r="E9" s="10"/>
      <c r="F9" s="3" t="s">
        <v>101</v>
      </c>
    </row>
    <row r="10" spans="1:6">
      <c r="A10" s="9" t="s">
        <v>102</v>
      </c>
      <c r="B10" s="10"/>
      <c r="C10" s="10"/>
      <c r="D10" s="10">
        <v>1000</v>
      </c>
      <c r="E10" s="10"/>
    </row>
    <row r="11" spans="1:6">
      <c r="A11" s="9" t="s">
        <v>103</v>
      </c>
      <c r="B11" s="10"/>
      <c r="C11" s="10"/>
      <c r="D11" s="10">
        <v>750</v>
      </c>
      <c r="E11" s="10"/>
      <c r="F11" s="3" t="s">
        <v>104</v>
      </c>
    </row>
    <row r="12" spans="1:6">
      <c r="A12" s="9" t="s">
        <v>105</v>
      </c>
      <c r="B12" s="10"/>
      <c r="C12" s="10"/>
      <c r="D12" s="10"/>
      <c r="E12" s="139">
        <f>(30*12)</f>
        <v>360</v>
      </c>
      <c r="F12" s="3" t="s">
        <v>106</v>
      </c>
    </row>
    <row r="13" spans="1:6">
      <c r="A13" s="9" t="s">
        <v>107</v>
      </c>
      <c r="B13" s="10"/>
      <c r="C13" s="10">
        <v>500</v>
      </c>
      <c r="D13" s="10"/>
      <c r="E13" s="10"/>
      <c r="F13" s="3" t="s">
        <v>108</v>
      </c>
    </row>
    <row r="14" spans="1:6">
      <c r="A14" s="9" t="s">
        <v>109</v>
      </c>
      <c r="B14" s="10"/>
      <c r="C14" s="10"/>
      <c r="D14" s="10"/>
      <c r="E14" s="10">
        <v>500</v>
      </c>
      <c r="F14" s="3" t="s">
        <v>110</v>
      </c>
    </row>
    <row r="15" spans="1:6">
      <c r="A15" s="6" t="s">
        <v>111</v>
      </c>
      <c r="B15" s="13"/>
      <c r="C15" s="13"/>
      <c r="D15" s="13"/>
      <c r="E15" s="13"/>
      <c r="F15" s="8"/>
    </row>
    <row r="16" spans="1:6">
      <c r="A16" t="s">
        <v>112</v>
      </c>
      <c r="B16" s="14">
        <v>300</v>
      </c>
      <c r="C16" s="14"/>
      <c r="D16" s="10"/>
      <c r="E16" s="10"/>
      <c r="F16" s="15" t="s">
        <v>113</v>
      </c>
    </row>
    <row r="17" spans="1:9">
      <c r="A17" t="s">
        <v>114</v>
      </c>
      <c r="B17" s="14">
        <v>700</v>
      </c>
      <c r="C17" s="14"/>
      <c r="D17" s="16"/>
      <c r="E17" s="10"/>
      <c r="F17" s="15" t="s">
        <v>115</v>
      </c>
    </row>
    <row r="18" spans="1:9">
      <c r="A18" s="9" t="s">
        <v>116</v>
      </c>
      <c r="B18" s="14">
        <v>500</v>
      </c>
      <c r="C18" s="14"/>
      <c r="D18" s="10"/>
      <c r="E18" s="10"/>
    </row>
    <row r="19" spans="1:9">
      <c r="A19" s="6" t="s">
        <v>21</v>
      </c>
      <c r="B19" s="13"/>
      <c r="C19" s="13"/>
      <c r="D19" s="17"/>
      <c r="E19" s="17"/>
      <c r="F19" s="8"/>
    </row>
    <row r="20" spans="1:9">
      <c r="A20" t="s">
        <v>117</v>
      </c>
      <c r="B20" s="10">
        <v>5000</v>
      </c>
      <c r="C20" s="10"/>
      <c r="D20" s="10"/>
      <c r="E20" s="10"/>
      <c r="F20" s="3" t="s">
        <v>118</v>
      </c>
    </row>
    <row r="21" spans="1:9">
      <c r="A21" t="s">
        <v>119</v>
      </c>
      <c r="B21" s="10">
        <v>500</v>
      </c>
      <c r="C21" s="10"/>
      <c r="D21" s="10"/>
      <c r="E21" s="10"/>
      <c r="F21" s="3" t="s">
        <v>120</v>
      </c>
    </row>
    <row r="22" spans="1:9">
      <c r="A22" t="s">
        <v>121</v>
      </c>
      <c r="B22" s="10">
        <v>700</v>
      </c>
      <c r="C22" s="10"/>
      <c r="D22" s="10"/>
      <c r="E22" s="10"/>
      <c r="F22" s="3" t="s">
        <v>122</v>
      </c>
    </row>
    <row r="23" spans="1:9">
      <c r="A23" t="s">
        <v>123</v>
      </c>
      <c r="B23" s="10">
        <v>200</v>
      </c>
      <c r="C23" s="10"/>
      <c r="D23" s="10"/>
      <c r="E23" s="10"/>
      <c r="F23" s="15" t="s">
        <v>124</v>
      </c>
    </row>
    <row r="24" spans="1:9">
      <c r="A24" t="s">
        <v>125</v>
      </c>
      <c r="B24" s="10">
        <v>300</v>
      </c>
      <c r="C24" s="10"/>
      <c r="D24" s="10"/>
      <c r="E24" s="10"/>
    </row>
    <row r="25" spans="1:9">
      <c r="A25" t="s">
        <v>126</v>
      </c>
      <c r="B25" s="10">
        <v>1154</v>
      </c>
      <c r="C25" s="10"/>
      <c r="D25" s="10"/>
      <c r="E25" s="10"/>
      <c r="F25" s="3" t="s">
        <v>127</v>
      </c>
    </row>
    <row r="26" spans="1:9">
      <c r="A26" s="6" t="s">
        <v>28</v>
      </c>
      <c r="B26" s="13"/>
      <c r="C26" s="13"/>
      <c r="D26" s="13"/>
      <c r="E26" s="13"/>
      <c r="F26" s="8"/>
      <c r="G26" t="s">
        <v>128</v>
      </c>
      <c r="H26" t="s">
        <v>129</v>
      </c>
      <c r="I26" t="s">
        <v>130</v>
      </c>
    </row>
    <row r="27" spans="1:9">
      <c r="A27" t="s">
        <v>131</v>
      </c>
      <c r="B27" s="18"/>
      <c r="C27" s="10"/>
      <c r="D27" s="10"/>
      <c r="E27" s="139">
        <v>3200</v>
      </c>
      <c r="F27" s="3" t="s">
        <v>132</v>
      </c>
      <c r="G27">
        <f>ROUNDUP(220*12*1.07,-1)</f>
        <v>2830</v>
      </c>
      <c r="H27">
        <f>ROUNDUP(280*12*1.07,-1)</f>
        <v>3600</v>
      </c>
      <c r="I27">
        <f>(G27+H27)/2</f>
        <v>3215</v>
      </c>
    </row>
    <row r="28" spans="1:9">
      <c r="A28" s="6" t="s">
        <v>133</v>
      </c>
      <c r="B28" s="13"/>
      <c r="C28" s="13"/>
      <c r="D28" s="13"/>
      <c r="E28" s="13"/>
      <c r="F28" s="8"/>
    </row>
    <row r="29" spans="1:9">
      <c r="A29" t="s">
        <v>134</v>
      </c>
      <c r="B29" s="10"/>
      <c r="C29" s="10"/>
      <c r="D29" s="10">
        <v>960</v>
      </c>
      <c r="E29" s="10"/>
      <c r="F29" s="3" t="s">
        <v>135</v>
      </c>
    </row>
    <row r="30" spans="1:9">
      <c r="A30" s="6" t="s">
        <v>136</v>
      </c>
      <c r="B30" s="13"/>
      <c r="C30" s="13"/>
      <c r="D30" s="13"/>
      <c r="E30" s="13"/>
      <c r="F30" s="8"/>
    </row>
    <row r="31" spans="1:9">
      <c r="A31" t="s">
        <v>137</v>
      </c>
      <c r="B31" s="10">
        <f>SUM(B5:B25)</f>
        <v>12854</v>
      </c>
      <c r="C31" s="10">
        <f>SUM(C5:C25)</f>
        <v>500</v>
      </c>
      <c r="D31" s="10"/>
      <c r="E31" s="10"/>
    </row>
    <row r="32" spans="1:9">
      <c r="A32" t="s">
        <v>138</v>
      </c>
      <c r="B32" s="10"/>
      <c r="C32" s="10"/>
      <c r="D32" s="10">
        <f>SUM(D5:D29)</f>
        <v>5210</v>
      </c>
      <c r="E32" s="10">
        <f>SUM(E5:E29)</f>
        <v>4060</v>
      </c>
    </row>
    <row r="33" spans="1:6">
      <c r="A33" s="19" t="s">
        <v>139</v>
      </c>
      <c r="B33" s="20">
        <f>B31*$B$2</f>
        <v>23394280</v>
      </c>
      <c r="C33" s="10">
        <f>C31*$B$2</f>
        <v>910000</v>
      </c>
      <c r="D33" s="20">
        <f>D32*$D$2</f>
        <v>1453590</v>
      </c>
      <c r="E33" s="10">
        <f>E32*$D$2</f>
        <v>1132740</v>
      </c>
      <c r="F33" s="3" t="s">
        <v>140</v>
      </c>
    </row>
    <row r="34" spans="1:6">
      <c r="A34" t="s">
        <v>141</v>
      </c>
      <c r="B34" s="10"/>
      <c r="C34" s="20">
        <f>5*C33</f>
        <v>4550000</v>
      </c>
      <c r="D34" s="10"/>
      <c r="E34" s="20">
        <f>5*E33</f>
        <v>5663700</v>
      </c>
    </row>
    <row r="35" spans="1:6">
      <c r="B35" s="21"/>
      <c r="C35" s="21"/>
      <c r="D35" s="21"/>
      <c r="E35" s="21"/>
    </row>
    <row r="36" spans="1:6">
      <c r="B36" s="21"/>
      <c r="C36" s="21"/>
      <c r="D36" s="21"/>
      <c r="E36" s="21"/>
    </row>
    <row r="37" spans="1:6">
      <c r="B37" s="21"/>
      <c r="C37" s="21"/>
      <c r="D37" s="21"/>
      <c r="E37" s="21"/>
    </row>
  </sheetData>
  <pageMargins left="0.7" right="0.7" top="0.75" bottom="0.75" header="0.3" footer="0.3"/>
  <pageSetup paperSize="9" scale="8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8FBCADA357BE479BFD7C8908B66D3D" ma:contentTypeVersion="36" ma:contentTypeDescription="Crée un document." ma:contentTypeScope="" ma:versionID="6c4e785ca4665617c8f36f13fe9a13cc">
  <xsd:schema xmlns:xsd="http://www.w3.org/2001/XMLSchema" xmlns:xs="http://www.w3.org/2001/XMLSchema" xmlns:p="http://schemas.microsoft.com/office/2006/metadata/properties" xmlns:ns2="bdc6ecf8-0eaa-4660-a888-9f415e2496e4" xmlns:ns3="e196fa9d-606b-48fb-b098-ef81019cdd90" targetNamespace="http://schemas.microsoft.com/office/2006/metadata/properties" ma:root="true" ma:fieldsID="a01cd86e925d68dd22678ccdb08862a2" ns2:_="" ns3:_="">
    <xsd:import namespace="bdc6ecf8-0eaa-4660-a888-9f415e2496e4"/>
    <xsd:import namespace="e196fa9d-606b-48fb-b098-ef81019cdd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Teachers" minOccurs="0"/>
                <xsd:element ref="ns2:Students" minOccurs="0"/>
                <xsd:element ref="ns2:Student_Groups" minOccurs="0"/>
                <xsd:element ref="ns2:Distribution_Groups" minOccurs="0"/>
                <xsd:element ref="ns2:LMS_Mappings" minOccurs="0"/>
                <xsd:element ref="ns2:Invited_Teachers" minOccurs="0"/>
                <xsd:element ref="ns2:Invited_Students" minOccurs="0"/>
                <xsd:element ref="ns2:Self_Registration_Enabled" minOccurs="0"/>
                <xsd:element ref="ns2:Has_Teacher_Only_SectionGroup" minOccurs="0"/>
                <xsd:element ref="ns2:Is_Collaboration_Space_Locked" minOccurs="0"/>
                <xsd:element ref="ns2:IsNotebookLocked" minOccurs="0"/>
                <xsd:element ref="ns2:Teams_Channel_Section_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6ecf8-0eaa-4660-a888-9f415e2496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fbd933d8-63e4-4f7e-90f6-66429bb13b47" ma:termSetId="09814cd3-568e-fe90-9814-8d621ff8fb84" ma:anchorId="fba54fb3-c3e1-fe81-a776-ca4b69148c4d" ma:open="true" ma:isKeyword="false">
      <xsd:complexType>
        <xsd:sequence>
          <xsd:element ref="pc:Terms" minOccurs="0" maxOccurs="1"/>
        </xsd:sequence>
      </xsd:complexType>
    </xsd:element>
    <xsd:element name="NotebookType" ma:index="23" nillable="true" ma:displayName="Notebook Type" ma:internalName="NotebookType">
      <xsd:simpleType>
        <xsd:restriction base="dms:Text"/>
      </xsd:simpleType>
    </xsd:element>
    <xsd:element name="FolderType" ma:index="24" nillable="true" ma:displayName="Folder Type" ma:internalName="FolderType">
      <xsd:simpleType>
        <xsd:restriction base="dms:Text"/>
      </xsd:simpleType>
    </xsd:element>
    <xsd:element name="CultureName" ma:index="25" nillable="true" ma:displayName="Culture Name" ma:internalName="CultureName">
      <xsd:simpleType>
        <xsd:restriction base="dms:Text"/>
      </xsd:simpleType>
    </xsd:element>
    <xsd:element name="AppVersion" ma:index="26" nillable="true" ma:displayName="App Version" ma:internalName="AppVersion">
      <xsd:simpleType>
        <xsd:restriction base="dms:Text"/>
      </xsd:simpleType>
    </xsd:element>
    <xsd:element name="TeamsChannelId" ma:index="27" nillable="true" ma:displayName="Teams Channel Id" ma:internalName="TeamsChannelId">
      <xsd:simpleType>
        <xsd:restriction base="dms:Text"/>
      </xsd:simpleType>
    </xsd:element>
    <xsd:element name="Owner" ma:index="28"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9" nillable="true" ma:displayName="Math Settings" ma:internalName="Math_Settings">
      <xsd:simpleType>
        <xsd:restriction base="dms:Text"/>
      </xsd:simpleType>
    </xsd:element>
    <xsd:element name="DefaultSectionNames" ma:index="30" nillable="true" ma:displayName="Default Section Names" ma:internalName="DefaultSectionNames">
      <xsd:simpleType>
        <xsd:restriction base="dms:Note">
          <xsd:maxLength value="255"/>
        </xsd:restriction>
      </xsd:simpleType>
    </xsd:element>
    <xsd:element name="Templates" ma:index="31" nillable="true" ma:displayName="Templates" ma:internalName="Templates">
      <xsd:simpleType>
        <xsd:restriction base="dms:Note">
          <xsd:maxLength value="255"/>
        </xsd:restriction>
      </xsd:simpleType>
    </xsd:element>
    <xsd:element name="Teachers" ma:index="32"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33"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34"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5" nillable="true" ma:displayName="Distribution Groups" ma:internalName="Distribution_Groups">
      <xsd:simpleType>
        <xsd:restriction base="dms:Note">
          <xsd:maxLength value="255"/>
        </xsd:restriction>
      </xsd:simpleType>
    </xsd:element>
    <xsd:element name="LMS_Mappings" ma:index="36" nillable="true" ma:displayName="LMS Mappings" ma:internalName="LMS_Mappings">
      <xsd:simpleType>
        <xsd:restriction base="dms:Note">
          <xsd:maxLength value="255"/>
        </xsd:restriction>
      </xsd:simpleType>
    </xsd:element>
    <xsd:element name="Invited_Teachers" ma:index="37" nillable="true" ma:displayName="Invited Teachers" ma:internalName="Invited_Teachers">
      <xsd:simpleType>
        <xsd:restriction base="dms:Note">
          <xsd:maxLength value="255"/>
        </xsd:restriction>
      </xsd:simpleType>
    </xsd:element>
    <xsd:element name="Invited_Students" ma:index="38" nillable="true" ma:displayName="Invited Students" ma:internalName="Invited_Students">
      <xsd:simpleType>
        <xsd:restriction base="dms:Note">
          <xsd:maxLength value="255"/>
        </xsd:restriction>
      </xsd:simpleType>
    </xsd:element>
    <xsd:element name="Self_Registration_Enabled" ma:index="39" nillable="true" ma:displayName="Self Registration Enabled" ma:internalName="Self_Registration_Enabled">
      <xsd:simpleType>
        <xsd:restriction base="dms:Boolean"/>
      </xsd:simpleType>
    </xsd:element>
    <xsd:element name="Has_Teacher_Only_SectionGroup" ma:index="40" nillable="true" ma:displayName="Has Teacher Only SectionGroup" ma:internalName="Has_Teacher_Only_SectionGroup">
      <xsd:simpleType>
        <xsd:restriction base="dms:Boolean"/>
      </xsd:simpleType>
    </xsd:element>
    <xsd:element name="Is_Collaboration_Space_Locked" ma:index="41" nillable="true" ma:displayName="Is Collaboration Space Locked" ma:internalName="Is_Collaboration_Space_Locked">
      <xsd:simpleType>
        <xsd:restriction base="dms:Boolean"/>
      </xsd:simpleType>
    </xsd:element>
    <xsd:element name="IsNotebookLocked" ma:index="42" nillable="true" ma:displayName="Is Notebook Locked" ma:internalName="IsNotebookLocked">
      <xsd:simpleType>
        <xsd:restriction base="dms:Boolean"/>
      </xsd:simpleType>
    </xsd:element>
    <xsd:element name="Teams_Channel_Section_Location" ma:index="43" nillable="true" ma:displayName="Teams Channel Section Location" ma:internalName="Teams_Channel_Section_Loc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96fa9d-606b-48fb-b098-ef81019cdd90"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beec736c-672f-45af-89a6-defcc9eb5378}" ma:internalName="TaxCatchAll" ma:showField="CatchAllData" ma:web="e196fa9d-606b-48fb-b098-ef81019cdd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196fa9d-606b-48fb-b098-ef81019cdd90">
      <UserInfo>
        <DisplayName>Bex Thierry</DisplayName>
        <AccountId>384</AccountId>
        <AccountType/>
      </UserInfo>
      <UserInfo>
        <DisplayName>Froidevaux Philippe</DisplayName>
        <AccountId>14</AccountId>
        <AccountType/>
      </UserInfo>
      <UserInfo>
        <DisplayName>Bersier Christian</DisplayName>
        <AccountId>459</AccountId>
        <AccountType/>
      </UserInfo>
    </SharedWithUsers>
    <lcf76f155ced4ddcb4097134ff3c332f xmlns="bdc6ecf8-0eaa-4660-a888-9f415e2496e4">
      <Terms xmlns="http://schemas.microsoft.com/office/infopath/2007/PartnerControls"/>
    </lcf76f155ced4ddcb4097134ff3c332f>
    <TaxCatchAll xmlns="e196fa9d-606b-48fb-b098-ef81019cdd90" xsi:nil="true"/>
    <Teachers xmlns="bdc6ecf8-0eaa-4660-a888-9f415e2496e4">
      <UserInfo>
        <DisplayName/>
        <AccountId xsi:nil="true"/>
        <AccountType/>
      </UserInfo>
    </Teachers>
    <Student_Groups xmlns="bdc6ecf8-0eaa-4660-a888-9f415e2496e4">
      <UserInfo>
        <DisplayName/>
        <AccountId xsi:nil="true"/>
        <AccountType/>
      </UserInfo>
    </Student_Groups>
    <Distribution_Groups xmlns="bdc6ecf8-0eaa-4660-a888-9f415e2496e4" xsi:nil="true"/>
    <Self_Registration_Enabled xmlns="bdc6ecf8-0eaa-4660-a888-9f415e2496e4" xsi:nil="true"/>
    <TeamsChannelId xmlns="bdc6ecf8-0eaa-4660-a888-9f415e2496e4" xsi:nil="true"/>
    <Invited_Teachers xmlns="bdc6ecf8-0eaa-4660-a888-9f415e2496e4" xsi:nil="true"/>
    <IsNotebookLocked xmlns="bdc6ecf8-0eaa-4660-a888-9f415e2496e4" xsi:nil="true"/>
    <NotebookType xmlns="bdc6ecf8-0eaa-4660-a888-9f415e2496e4" xsi:nil="true"/>
    <Students xmlns="bdc6ecf8-0eaa-4660-a888-9f415e2496e4">
      <UserInfo>
        <DisplayName/>
        <AccountId xsi:nil="true"/>
        <AccountType/>
      </UserInfo>
    </Students>
    <Has_Teacher_Only_SectionGroup xmlns="bdc6ecf8-0eaa-4660-a888-9f415e2496e4" xsi:nil="true"/>
    <DefaultSectionNames xmlns="bdc6ecf8-0eaa-4660-a888-9f415e2496e4" xsi:nil="true"/>
    <Is_Collaboration_Space_Locked xmlns="bdc6ecf8-0eaa-4660-a888-9f415e2496e4" xsi:nil="true"/>
    <Teams_Channel_Section_Location xmlns="bdc6ecf8-0eaa-4660-a888-9f415e2496e4" xsi:nil="true"/>
    <FolderType xmlns="bdc6ecf8-0eaa-4660-a888-9f415e2496e4" xsi:nil="true"/>
    <CultureName xmlns="bdc6ecf8-0eaa-4660-a888-9f415e2496e4" xsi:nil="true"/>
    <Owner xmlns="bdc6ecf8-0eaa-4660-a888-9f415e2496e4">
      <UserInfo>
        <DisplayName/>
        <AccountId xsi:nil="true"/>
        <AccountType/>
      </UserInfo>
    </Owner>
    <LMS_Mappings xmlns="bdc6ecf8-0eaa-4660-a888-9f415e2496e4" xsi:nil="true"/>
    <Invited_Students xmlns="bdc6ecf8-0eaa-4660-a888-9f415e2496e4" xsi:nil="true"/>
    <Math_Settings xmlns="bdc6ecf8-0eaa-4660-a888-9f415e2496e4" xsi:nil="true"/>
    <Templates xmlns="bdc6ecf8-0eaa-4660-a888-9f415e2496e4" xsi:nil="true"/>
    <AppVersion xmlns="bdc6ecf8-0eaa-4660-a888-9f415e2496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EAFA54-349A-4299-B1D8-6306EE591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c6ecf8-0eaa-4660-a888-9f415e2496e4"/>
    <ds:schemaRef ds:uri="e196fa9d-606b-48fb-b098-ef81019cd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02C160-258C-41CB-B0C2-9B7A8AF1CBDA}">
  <ds:schemaRefs>
    <ds:schemaRef ds:uri="http://purl.org/dc/elements/1.1/"/>
    <ds:schemaRef ds:uri="http://schemas.microsoft.com/office/2006/documentManagement/types"/>
    <ds:schemaRef ds:uri="http://www.w3.org/XML/1998/namespace"/>
    <ds:schemaRef ds:uri="http://schemas.microsoft.com/office/2006/metadata/properties"/>
    <ds:schemaRef ds:uri="http://purl.org/dc/dcmitype/"/>
    <ds:schemaRef ds:uri="http://schemas.openxmlformats.org/package/2006/metadata/core-properties"/>
    <ds:schemaRef ds:uri="http://purl.org/dc/terms/"/>
    <ds:schemaRef ds:uri="e196fa9d-606b-48fb-b098-ef81019cdd90"/>
    <ds:schemaRef ds:uri="http://schemas.microsoft.com/office/infopath/2007/PartnerControls"/>
    <ds:schemaRef ds:uri="bdc6ecf8-0eaa-4660-a888-9f415e2496e4"/>
  </ds:schemaRefs>
</ds:datastoreItem>
</file>

<file path=customXml/itemProps3.xml><?xml version="1.0" encoding="utf-8"?>
<ds:datastoreItem xmlns:ds="http://schemas.openxmlformats.org/officeDocument/2006/customXml" ds:itemID="{BB91B1BC-F9E2-49E2-8683-DF6C4F0F9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Beschreibung</vt:lpstr>
      <vt:lpstr>Kostenrechner</vt:lpstr>
      <vt:lpstr>Récapitulatif financier</vt:lpstr>
      <vt:lpstr>Nb_Bat</vt:lpstr>
      <vt:lpstr>Nb_Cla_Std</vt:lpstr>
      <vt:lpstr>TotalEtages</vt:lpstr>
      <vt:lpstr>TotalSalles</vt:lpstr>
      <vt:lpstr>Beschreibung!Zone_d_impression</vt:lpstr>
      <vt:lpstr>Kostenrechner!Zone_d_impression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LABEGUERIE Marylène</dc:creator>
  <cp:keywords/>
  <dc:description/>
  <cp:lastModifiedBy>Labéguerie Marylène</cp:lastModifiedBy>
  <cp:revision/>
  <dcterms:created xsi:type="dcterms:W3CDTF">2021-09-15T07:40:49Z</dcterms:created>
  <dcterms:modified xsi:type="dcterms:W3CDTF">2023-08-29T13:40:19Z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0x0101000C8FBCADA357BE479BFD7C8908B66D3D</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