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0" yWindow="30" windowWidth="12855" windowHeight="12345" tabRatio="693"/>
  </bookViews>
  <sheets>
    <sheet name="Werterhalt" sheetId="1" r:id="rId1"/>
    <sheet name="Jahreskosten" sheetId="2" r:id="rId2"/>
    <sheet name="Anschlussgebühr" sheetId="6" r:id="rId3"/>
    <sheet name="jährliche Gebühr A" sheetId="9" r:id="rId4"/>
    <sheet name="jährliche Gebühr B" sheetId="8" r:id="rId5"/>
    <sheet name="jährliche Gebühr C" sheetId="4" r:id="rId6"/>
  </sheets>
  <definedNames>
    <definedName name="solver_adj" localSheetId="2" hidden="1">Anschlussgebühr!#REF!</definedName>
    <definedName name="solver_adj" localSheetId="3" hidden="1">'jährliche Gebühr A'!#REF!</definedName>
    <definedName name="solver_adj" localSheetId="4" hidden="1">'jährliche Gebühr B'!$E$11</definedName>
    <definedName name="solver_adj" localSheetId="5" hidden="1">'jährliche Gebühr C'!$E$11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itr" localSheetId="2" hidden="1">100</definedName>
    <definedName name="solver_itr" localSheetId="3" hidden="1">100</definedName>
    <definedName name="solver_itr" localSheetId="4" hidden="1">100</definedName>
    <definedName name="solver_itr" localSheetId="5" hidden="1">100</definedName>
    <definedName name="solver_lin" localSheetId="2" hidden="1">2</definedName>
    <definedName name="solver_lin" localSheetId="3" hidden="1">2</definedName>
    <definedName name="solver_lin" localSheetId="4" hidden="1">2</definedName>
    <definedName name="solver_lin" localSheetId="5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opt" localSheetId="2" hidden="1">Anschlussgebühr!#REF!</definedName>
    <definedName name="solver_opt" localSheetId="3" hidden="1">'jährliche Gebühr A'!#REF!</definedName>
    <definedName name="solver_opt" localSheetId="4" hidden="1">'jährliche Gebühr B'!#REF!</definedName>
    <definedName name="solver_opt" localSheetId="5" hidden="1">'jährliche Gebühr C'!#REF!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scl" localSheetId="2" hidden="1">2</definedName>
    <definedName name="solver_scl" localSheetId="3" hidden="1">2</definedName>
    <definedName name="solver_scl" localSheetId="4" hidden="1">2</definedName>
    <definedName name="solver_scl" localSheetId="5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tim" localSheetId="2" hidden="1">100</definedName>
    <definedName name="solver_tim" localSheetId="3" hidden="1">100</definedName>
    <definedName name="solver_tim" localSheetId="4" hidden="1">100</definedName>
    <definedName name="solver_tim" localSheetId="5" hidden="1">100</definedName>
    <definedName name="solver_tol" localSheetId="2" hidden="1">0.05</definedName>
    <definedName name="solver_tol" localSheetId="3" hidden="1">0.05</definedName>
    <definedName name="solver_tol" localSheetId="4" hidden="1">0.05</definedName>
    <definedName name="solver_tol" localSheetId="5" hidden="1">0.05</definedName>
    <definedName name="solver_typ" localSheetId="2" hidden="1">3</definedName>
    <definedName name="solver_typ" localSheetId="3" hidden="1">3</definedName>
    <definedName name="solver_typ" localSheetId="4" hidden="1">3</definedName>
    <definedName name="solver_typ" localSheetId="5" hidden="1">3</definedName>
    <definedName name="solver_val" localSheetId="2" hidden="1">400000</definedName>
    <definedName name="solver_val" localSheetId="3" hidden="1">400000</definedName>
    <definedName name="solver_val" localSheetId="4" hidden="1">10</definedName>
    <definedName name="solver_val" localSheetId="5" hidden="1">10</definedName>
  </definedNames>
  <calcPr calcId="145621"/>
</workbook>
</file>

<file path=xl/calcChain.xml><?xml version="1.0" encoding="utf-8"?>
<calcChain xmlns="http://schemas.openxmlformats.org/spreadsheetml/2006/main">
  <c r="G28" i="4" l="1"/>
  <c r="G27" i="4"/>
  <c r="G26" i="4"/>
  <c r="F34" i="8"/>
  <c r="F33" i="8"/>
  <c r="F32" i="8"/>
  <c r="I7" i="1" l="1"/>
  <c r="M35" i="6" l="1"/>
  <c r="M37" i="6" s="1"/>
  <c r="I35" i="6"/>
  <c r="I37" i="6" s="1"/>
  <c r="E35" i="6"/>
  <c r="E37" i="6" l="1"/>
  <c r="G6" i="9" l="1"/>
  <c r="G7" i="9"/>
  <c r="G8" i="9"/>
  <c r="G9" i="9"/>
  <c r="G10" i="9"/>
  <c r="G5" i="9"/>
  <c r="G11" i="9" s="1"/>
  <c r="I35" i="9"/>
  <c r="I33" i="9"/>
  <c r="E34" i="9"/>
  <c r="E33" i="9"/>
  <c r="G18" i="6"/>
  <c r="I23" i="6" s="1"/>
  <c r="F42" i="9" l="1"/>
  <c r="J42" i="9"/>
  <c r="M41" i="9"/>
  <c r="I41" i="9"/>
  <c r="E41" i="9"/>
  <c r="D30" i="9"/>
  <c r="E28" i="9"/>
  <c r="M10" i="9"/>
  <c r="K6" i="9"/>
  <c r="K7" i="9"/>
  <c r="K8" i="9"/>
  <c r="K9" i="9"/>
  <c r="K5" i="9"/>
  <c r="I10" i="9"/>
  <c r="E10" i="9"/>
  <c r="D6" i="9"/>
  <c r="D7" i="9"/>
  <c r="D8" i="9"/>
  <c r="D9" i="9"/>
  <c r="D5" i="9"/>
  <c r="C6" i="9"/>
  <c r="C7" i="9"/>
  <c r="C8" i="9"/>
  <c r="C9" i="9"/>
  <c r="C5" i="9"/>
  <c r="F13" i="9"/>
  <c r="M38" i="9"/>
  <c r="I38" i="9"/>
  <c r="E37" i="9"/>
  <c r="F11" i="9"/>
  <c r="E8" i="9" l="1"/>
  <c r="E5" i="9"/>
  <c r="D31" i="9"/>
  <c r="E7" i="9"/>
  <c r="E9" i="9"/>
  <c r="E6" i="9"/>
  <c r="I6" i="8"/>
  <c r="D13" i="2"/>
  <c r="D14" i="2"/>
  <c r="E11" i="9" l="1"/>
  <c r="E14" i="9" s="1"/>
  <c r="E11" i="8"/>
  <c r="H27" i="4"/>
  <c r="M32" i="6"/>
  <c r="L14" i="6"/>
  <c r="L7" i="9" s="1"/>
  <c r="M7" i="9" s="1"/>
  <c r="I32" i="6"/>
  <c r="H26" i="4"/>
  <c r="F18" i="6"/>
  <c r="H13" i="6"/>
  <c r="H14" i="6"/>
  <c r="H15" i="6"/>
  <c r="H16" i="6"/>
  <c r="H12" i="6"/>
  <c r="I12" i="6" l="1"/>
  <c r="H5" i="9"/>
  <c r="I5" i="9" s="1"/>
  <c r="I13" i="6"/>
  <c r="H6" i="9"/>
  <c r="I6" i="9" s="1"/>
  <c r="I16" i="6"/>
  <c r="H9" i="9"/>
  <c r="I9" i="9" s="1"/>
  <c r="L12" i="6"/>
  <c r="M14" i="6"/>
  <c r="I15" i="6"/>
  <c r="H8" i="9"/>
  <c r="I8" i="9" s="1"/>
  <c r="L15" i="6"/>
  <c r="I14" i="6"/>
  <c r="H7" i="9"/>
  <c r="I7" i="9" s="1"/>
  <c r="L13" i="6"/>
  <c r="L16" i="6"/>
  <c r="I15" i="9"/>
  <c r="H12" i="4"/>
  <c r="E5" i="2"/>
  <c r="E6" i="2"/>
  <c r="E7" i="2"/>
  <c r="E8" i="2"/>
  <c r="E9" i="2"/>
  <c r="E10" i="2"/>
  <c r="E11" i="2"/>
  <c r="M13" i="6" l="1"/>
  <c r="L6" i="9"/>
  <c r="M6" i="9" s="1"/>
  <c r="L9" i="9"/>
  <c r="M9" i="9" s="1"/>
  <c r="M16" i="6"/>
  <c r="M15" i="6"/>
  <c r="L8" i="9"/>
  <c r="M8" i="9" s="1"/>
  <c r="L5" i="9"/>
  <c r="M5" i="9" s="1"/>
  <c r="M12" i="6"/>
  <c r="M18" i="6" s="1"/>
  <c r="M22" i="6" s="1"/>
  <c r="E17" i="2"/>
  <c r="M11" i="9" l="1"/>
  <c r="M14" i="9" s="1"/>
  <c r="H4" i="4"/>
  <c r="H25" i="4" s="1"/>
  <c r="H28" i="4"/>
  <c r="E34" i="4" l="1"/>
  <c r="E31" i="6"/>
  <c r="E13" i="6"/>
  <c r="E14" i="6"/>
  <c r="E15" i="6"/>
  <c r="E16" i="6"/>
  <c r="E12" i="6"/>
  <c r="E18" i="6" l="1"/>
  <c r="E22" i="6" s="1"/>
  <c r="G33" i="8" l="1"/>
  <c r="G32" i="8"/>
  <c r="N24" i="1" l="1"/>
  <c r="N23" i="1"/>
  <c r="N22" i="1"/>
  <c r="N21" i="1"/>
  <c r="N20" i="1" s="1"/>
  <c r="J15" i="1"/>
  <c r="K15" i="1"/>
  <c r="N5" i="1"/>
  <c r="N10" i="1"/>
  <c r="N4" i="1"/>
  <c r="L12" i="1"/>
  <c r="E11" i="4"/>
  <c r="L24" i="1"/>
  <c r="L23" i="1"/>
  <c r="L21" i="1"/>
  <c r="L19" i="1"/>
  <c r="L17" i="1"/>
  <c r="L16" i="1"/>
  <c r="D23" i="1"/>
  <c r="D24" i="1"/>
  <c r="G23" i="1"/>
  <c r="G24" i="1"/>
  <c r="G22" i="1"/>
  <c r="D22" i="1"/>
  <c r="D21" i="1"/>
  <c r="G21" i="1"/>
  <c r="C18" i="1"/>
  <c r="F18" i="1"/>
  <c r="H18" i="1"/>
  <c r="B18" i="1"/>
  <c r="C17" i="1"/>
  <c r="F17" i="1"/>
  <c r="H17" i="1"/>
  <c r="B17" i="1"/>
  <c r="D16" i="1"/>
  <c r="C15" i="1"/>
  <c r="F15" i="1"/>
  <c r="F16" i="1" s="1"/>
  <c r="G16" i="1" s="1"/>
  <c r="H15" i="1"/>
  <c r="B15" i="1"/>
  <c r="I16" i="1" l="1"/>
  <c r="I23" i="1"/>
  <c r="I22" i="1"/>
  <c r="N16" i="1"/>
  <c r="P21" i="1"/>
  <c r="I24" i="1"/>
  <c r="L15" i="1"/>
  <c r="M23" i="1"/>
  <c r="I21" i="1"/>
  <c r="G25" i="1"/>
  <c r="P22" i="1" s="1"/>
  <c r="M21" i="1"/>
  <c r="M24" i="1"/>
  <c r="N17" i="1"/>
  <c r="M17" i="1"/>
  <c r="M22" i="1"/>
  <c r="P23" i="1" l="1"/>
  <c r="I25" i="1"/>
  <c r="P24" i="1"/>
  <c r="J5" i="1"/>
  <c r="K5" i="1" s="1"/>
  <c r="J6" i="1"/>
  <c r="J7" i="1"/>
  <c r="J8" i="1"/>
  <c r="J9" i="1"/>
  <c r="J10" i="1"/>
  <c r="J11" i="1"/>
  <c r="J4" i="1"/>
  <c r="D6" i="1"/>
  <c r="D18" i="1" s="1"/>
  <c r="D17" i="1"/>
  <c r="D8" i="1"/>
  <c r="D9" i="1"/>
  <c r="D10" i="1"/>
  <c r="D11" i="1"/>
  <c r="D4" i="1"/>
  <c r="D15" i="1" s="1"/>
  <c r="G9" i="1"/>
  <c r="G11" i="1"/>
  <c r="G4" i="1"/>
  <c r="G5" i="1"/>
  <c r="G6" i="1"/>
  <c r="G8" i="1"/>
  <c r="B12" i="1"/>
  <c r="G10" i="1"/>
  <c r="M5" i="1" l="1"/>
  <c r="J12" i="1"/>
  <c r="I17" i="1"/>
  <c r="N7" i="1"/>
  <c r="I8" i="1"/>
  <c r="K8" i="1" s="1"/>
  <c r="M8" i="1"/>
  <c r="N8" i="1"/>
  <c r="I11" i="1"/>
  <c r="K11" i="1" s="1"/>
  <c r="M11" i="1"/>
  <c r="N11" i="1"/>
  <c r="N6" i="1"/>
  <c r="M6" i="1"/>
  <c r="I9" i="1"/>
  <c r="K9" i="1" s="1"/>
  <c r="N9" i="1"/>
  <c r="M9" i="1"/>
  <c r="G17" i="1"/>
  <c r="M7" i="1"/>
  <c r="I10" i="1"/>
  <c r="K10" i="1" s="1"/>
  <c r="M10" i="1"/>
  <c r="M4" i="1"/>
  <c r="I4" i="1"/>
  <c r="I15" i="1" s="1"/>
  <c r="G15" i="1"/>
  <c r="I6" i="1"/>
  <c r="I18" i="1" s="1"/>
  <c r="G18" i="1"/>
  <c r="D12" i="1"/>
  <c r="G12" i="1"/>
  <c r="P11" i="1" l="1"/>
  <c r="E4" i="6"/>
  <c r="M16" i="1"/>
  <c r="P5" i="1"/>
  <c r="P8" i="1"/>
  <c r="K7" i="1"/>
  <c r="P9" i="1"/>
  <c r="P4" i="1"/>
  <c r="P10" i="1"/>
  <c r="P6" i="1"/>
  <c r="P7" i="1"/>
  <c r="I19" i="1"/>
  <c r="M19" i="1"/>
  <c r="N19" i="1"/>
  <c r="M18" i="1"/>
  <c r="N18" i="1"/>
  <c r="K6" i="1"/>
  <c r="M12" i="1"/>
  <c r="N12" i="1"/>
  <c r="I12" i="1"/>
  <c r="I27" i="1" s="1"/>
  <c r="I30" i="1" s="1"/>
  <c r="I34" i="1" s="1"/>
  <c r="B12" i="2" s="1"/>
  <c r="D12" i="2" s="1"/>
  <c r="K4" i="1"/>
  <c r="G19" i="1"/>
  <c r="P15" i="1" s="1"/>
  <c r="P17" i="1" l="1"/>
  <c r="P18" i="1"/>
  <c r="D17" i="2"/>
  <c r="G27" i="1"/>
  <c r="P16" i="1"/>
  <c r="P27" i="1" s="1"/>
  <c r="H25" i="1" s="1"/>
  <c r="M15" i="1"/>
  <c r="M20" i="1"/>
  <c r="M27" i="1" s="1"/>
  <c r="K12" i="1"/>
  <c r="N15" i="1"/>
  <c r="G17" i="2" l="1"/>
  <c r="D13" i="9"/>
  <c r="E6" i="6"/>
  <c r="H27" i="1"/>
  <c r="E14" i="8"/>
  <c r="E27" i="8" s="1"/>
  <c r="E13" i="4"/>
  <c r="E26" i="4" s="1"/>
  <c r="I17" i="9" l="1"/>
  <c r="I40" i="9" s="1"/>
  <c r="I42" i="9" s="1"/>
  <c r="I43" i="9" s="1"/>
  <c r="E16" i="9"/>
  <c r="E40" i="9" s="1"/>
  <c r="E42" i="9" s="1"/>
  <c r="E43" i="9" s="1"/>
  <c r="M16" i="9"/>
  <c r="M40" i="9" s="1"/>
  <c r="M42" i="9" s="1"/>
  <c r="M43" i="9" s="1"/>
  <c r="I21" i="6"/>
  <c r="I25" i="6" s="1"/>
  <c r="I36" i="6" s="1"/>
  <c r="M21" i="6"/>
  <c r="M24" i="6" s="1"/>
  <c r="M36" i="6" s="1"/>
  <c r="E21" i="6"/>
  <c r="I26" i="8"/>
  <c r="E35" i="8" s="1"/>
  <c r="E34" i="8"/>
  <c r="E29" i="8"/>
  <c r="E28" i="8"/>
  <c r="E24" i="6" l="1"/>
  <c r="E36" i="6" s="1"/>
  <c r="G31" i="8"/>
  <c r="I32" i="8" l="1"/>
  <c r="I33" i="8" s="1"/>
  <c r="E27" i="4"/>
  <c r="E28" i="4"/>
  <c r="E33" i="4" l="1"/>
  <c r="H31" i="4" s="1"/>
  <c r="H32" i="4" s="1"/>
</calcChain>
</file>

<file path=xl/sharedStrings.xml><?xml version="1.0" encoding="utf-8"?>
<sst xmlns="http://schemas.openxmlformats.org/spreadsheetml/2006/main" count="230" uniqueCount="145">
  <si>
    <t>Total</t>
  </si>
  <si>
    <t>…</t>
  </si>
  <si>
    <t>valeur résiduelle technique = capital propre</t>
  </si>
  <si>
    <t>valeur résiduelle</t>
  </si>
  <si>
    <t>année de construction</t>
  </si>
  <si>
    <t>[…]</t>
  </si>
  <si>
    <r>
      <t>CHF / m</t>
    </r>
    <r>
      <rPr>
        <b/>
        <sz val="15"/>
        <color theme="1"/>
        <rFont val="Calibri"/>
        <family val="2"/>
      </rPr>
      <t>³</t>
    </r>
  </si>
  <si>
    <t>coûts annuels</t>
  </si>
  <si>
    <t>n° 1</t>
  </si>
  <si>
    <t>n° 2</t>
  </si>
  <si>
    <t>n° 3</t>
  </si>
  <si>
    <t>n° 4</t>
  </si>
  <si>
    <t>n° xy</t>
  </si>
  <si>
    <t>∑</t>
  </si>
  <si>
    <t>[reste]</t>
  </si>
  <si>
    <t>[CHF]</t>
  </si>
  <si>
    <t>Bestimmung des aktuellen Wiederbeschaffungswertes (WBW) (Art. 32 TWG) und der jährlichen Werterhaltungskosten (WEK)</t>
  </si>
  <si>
    <t>Historische Netto-Baukosten</t>
  </si>
  <si>
    <r>
      <t>Infrastrukturen A</t>
    </r>
    <r>
      <rPr>
        <sz val="10"/>
        <color theme="1"/>
        <rFont val="Calibri"/>
        <family val="2"/>
        <scheme val="minor"/>
      </rPr>
      <t>0</t>
    </r>
  </si>
  <si>
    <t>Fassungen</t>
  </si>
  <si>
    <t>Aufbereitungsanlagen</t>
  </si>
  <si>
    <t>Pumpwerke, Schächte</t>
  </si>
  <si>
    <t>Konzessionen</t>
  </si>
  <si>
    <t>Leitungen, Hydranten</t>
  </si>
  <si>
    <t>Reservoirs</t>
  </si>
  <si>
    <t>Steuerung</t>
  </si>
  <si>
    <r>
      <t>Infrastrukturen A</t>
    </r>
    <r>
      <rPr>
        <sz val="10"/>
        <color theme="1"/>
        <rFont val="Calibri"/>
        <family val="2"/>
        <scheme val="minor"/>
      </rPr>
      <t>0+x</t>
    </r>
  </si>
  <si>
    <t>aufgegebene Anlagen</t>
  </si>
  <si>
    <t>Leitungen</t>
  </si>
  <si>
    <t>Neue Anlagen und Zunahme des WBW</t>
  </si>
  <si>
    <t>Objekt 1</t>
  </si>
  <si>
    <t>Objekt 2</t>
  </si>
  <si>
    <t>Objekt 3</t>
  </si>
  <si>
    <t>Objekt 4</t>
  </si>
  <si>
    <t>Historische WEK</t>
  </si>
  <si>
    <t>Teuerungsfaktor</t>
  </si>
  <si>
    <t>Nutzungsdauer</t>
  </si>
  <si>
    <t>Aktueller WBW</t>
  </si>
  <si>
    <t>jährliche WEK</t>
  </si>
  <si>
    <t>Jährliche Einlage in die Spezialfinanzierung Werterhalt (SFWE)</t>
  </si>
  <si>
    <t>Wahl des Deckungsprozentsatzes (&gt;50%, &lt;100%)</t>
  </si>
  <si>
    <t>Jährliche Amortisation bzw. Spezialfinanzierung, gerundet</t>
  </si>
  <si>
    <t>Bestimmung der Jahresbetriebskosten</t>
  </si>
  <si>
    <t>Aufwandkategorien</t>
  </si>
  <si>
    <t>Administration</t>
  </si>
  <si>
    <t>Lohnkosten</t>
  </si>
  <si>
    <t>Versicherungen</t>
  </si>
  <si>
    <t>Material</t>
  </si>
  <si>
    <t>Dienstleistungen Dritter</t>
  </si>
  <si>
    <t>Honorar</t>
  </si>
  <si>
    <t>Andere Ausgaben</t>
  </si>
  <si>
    <t>Einlage Spezialfinanzierung SFME</t>
  </si>
  <si>
    <t>Schuldenamortisation</t>
  </si>
  <si>
    <t>Passivzinse auf Fremdkapital</t>
  </si>
  <si>
    <t>Andere</t>
  </si>
  <si>
    <t>Aufwand in der laufenden Rechnung</t>
  </si>
  <si>
    <t>jährliche Grundgebühr</t>
  </si>
  <si>
    <t>Betriebsgebühr</t>
  </si>
  <si>
    <t>Anschlussgebühr</t>
  </si>
  <si>
    <t>a) Definition der auf die Anschlussgebühr abzuwälzenden Kosten</t>
  </si>
  <si>
    <t>Total abwälzbare Kosten</t>
  </si>
  <si>
    <t>Abzuwälzender Teil</t>
  </si>
  <si>
    <t>Total abzuwälzende Kosten</t>
  </si>
  <si>
    <t>b) Definition des % für die Vorzugslast</t>
  </si>
  <si>
    <t>Parzellen</t>
  </si>
  <si>
    <t>c) Parzelleninventar (bebaut und unbebaut), der anrechenbaren Grundstücksfläche (aGSF) und der Geschossflächenziffer (GFZ), bzw. der Baumassenziffer (BMZ) oder der Überbauungsziffer (ÜZ)</t>
  </si>
  <si>
    <t>GFZ</t>
  </si>
  <si>
    <r>
      <t>aGSF [m</t>
    </r>
    <r>
      <rPr>
        <u val="singleAccounting"/>
        <sz val="11"/>
        <color theme="1"/>
        <rFont val="Calibri"/>
        <family val="2"/>
      </rPr>
      <t>²]</t>
    </r>
  </si>
  <si>
    <t>GFZ * aGSF</t>
  </si>
  <si>
    <t>BMZ</t>
  </si>
  <si>
    <t>ÜZ</t>
  </si>
  <si>
    <t>aGSF [m²]</t>
  </si>
  <si>
    <t>ÜZ * aGSF</t>
  </si>
  <si>
    <r>
      <t>d) Definition der Anschlusskosten pro m</t>
    </r>
    <r>
      <rPr>
        <b/>
        <sz val="11"/>
        <color theme="1"/>
        <rFont val="Calibri"/>
        <family val="2"/>
      </rPr>
      <t>²</t>
    </r>
  </si>
  <si>
    <t>Anrechenbare Kosten</t>
  </si>
  <si>
    <t>Total anrechenbare Fläche</t>
  </si>
  <si>
    <t>Total anrechenbares Volumen</t>
  </si>
  <si>
    <r>
      <t>Aufschlüsselung [CHF / m</t>
    </r>
    <r>
      <rPr>
        <sz val="11"/>
        <color theme="1"/>
        <rFont val="Calibri"/>
        <family val="2"/>
      </rPr>
      <t>³]</t>
    </r>
  </si>
  <si>
    <r>
      <t>Aufschlüsselung [CHF / m</t>
    </r>
    <r>
      <rPr>
        <sz val="11"/>
        <color theme="1"/>
        <rFont val="Calibri"/>
        <family val="2"/>
      </rPr>
      <t>²]</t>
    </r>
  </si>
  <si>
    <t>Rechenbeispiel</t>
  </si>
  <si>
    <r>
      <t>aGSF-Fläche einer unbebauten Parzelle [m</t>
    </r>
    <r>
      <rPr>
        <sz val="11"/>
        <color theme="1"/>
        <rFont val="Calibri"/>
        <family val="2"/>
      </rPr>
      <t>²]</t>
    </r>
  </si>
  <si>
    <t>GFZ für die betroffene Parzelle</t>
  </si>
  <si>
    <t>BMZ für die betroffene Parzelle</t>
  </si>
  <si>
    <t>ÜZ für die betroffene Parzelle</t>
  </si>
  <si>
    <t>Anrechenbare theoretische Fläche</t>
  </si>
  <si>
    <t>Anrechenbares Volumen</t>
  </si>
  <si>
    <t>Bebaut?</t>
  </si>
  <si>
    <t>Genügend Wasser aus eigenen Ressourcen?</t>
  </si>
  <si>
    <t>Vorzugslast</t>
  </si>
  <si>
    <t>Anschlussgebühr [CHF]</t>
  </si>
  <si>
    <t>ja</t>
  </si>
  <si>
    <t>nein</t>
  </si>
  <si>
    <t>Jährliche Gebühr (Variante A)</t>
  </si>
  <si>
    <t>Grundgebühr</t>
  </si>
  <si>
    <t>a)  Parzelleninventar (bebaut und unbebaut), der anrechenbaren Grundstücksfläche (aGSF) und der Geschossflächenziffer (GFZ), bzw. der Baumassenziffer (BMZ) oder der Überbauungsziffer (ÜZ)</t>
  </si>
  <si>
    <t>b) jährliche Kosten</t>
  </si>
  <si>
    <r>
      <t>a) Anzahl genutzte m</t>
    </r>
    <r>
      <rPr>
        <b/>
        <u/>
        <sz val="11"/>
        <color theme="1"/>
        <rFont val="Calibri"/>
        <family val="2"/>
      </rPr>
      <t>³</t>
    </r>
  </si>
  <si>
    <t>Anschlüsse</t>
  </si>
  <si>
    <r>
      <t>[m</t>
    </r>
    <r>
      <rPr>
        <sz val="11"/>
        <color theme="1"/>
        <rFont val="Calibri"/>
        <family val="2"/>
      </rPr>
      <t>³/Jahr]</t>
    </r>
  </si>
  <si>
    <t>Dorfweg 1</t>
  </si>
  <si>
    <t>Stadtstrasse 3</t>
  </si>
  <si>
    <t>b) Anrechenbare Kosten</t>
  </si>
  <si>
    <r>
      <t>Kosten pro m</t>
    </r>
    <r>
      <rPr>
        <sz val="11"/>
        <color theme="1"/>
        <rFont val="Calibri"/>
        <family val="2"/>
      </rPr>
      <t>³</t>
    </r>
  </si>
  <si>
    <r>
      <t>Jahresverbrauch [m</t>
    </r>
    <r>
      <rPr>
        <sz val="11"/>
        <color theme="1"/>
        <rFont val="Calibri"/>
        <family val="2"/>
      </rPr>
      <t>³]</t>
    </r>
  </si>
  <si>
    <t>Grundgebühr [CHF]</t>
  </si>
  <si>
    <t>Betriebsgebühr [CHF]</t>
  </si>
  <si>
    <t>Gesamtjahresgebühr [CHF]</t>
  </si>
  <si>
    <r>
      <t>Tarif m</t>
    </r>
    <r>
      <rPr>
        <b/>
        <sz val="11"/>
        <color theme="1"/>
        <rFont val="Calibri"/>
        <family val="2"/>
      </rPr>
      <t>³</t>
    </r>
    <r>
      <rPr>
        <b/>
        <sz val="11"/>
        <color theme="1"/>
        <rFont val="Calibri"/>
        <family val="2"/>
        <scheme val="minor"/>
      </rPr>
      <t xml:space="preserve"> (CHF / m</t>
    </r>
    <r>
      <rPr>
        <b/>
        <sz val="11"/>
        <color theme="1"/>
        <rFont val="Calibri"/>
        <family val="2"/>
      </rPr>
      <t>³</t>
    </r>
    <r>
      <rPr>
        <b/>
        <sz val="11"/>
        <color theme="1"/>
        <rFont val="Calibri"/>
        <family val="2"/>
        <scheme val="minor"/>
      </rPr>
      <t>)</t>
    </r>
  </si>
  <si>
    <t>a) Inventar der Anschlüsse (Adressen, Besitzer)</t>
  </si>
  <si>
    <t>Jährliche Gebühr (Variante B)</t>
  </si>
  <si>
    <r>
      <t>Dauerdurchfluss Q3 [m</t>
    </r>
    <r>
      <rPr>
        <sz val="11"/>
        <color theme="1"/>
        <rFont val="Calibri"/>
        <family val="2"/>
      </rPr>
      <t>³/h</t>
    </r>
    <r>
      <rPr>
        <sz val="11"/>
        <color theme="1"/>
        <rFont val="Calibri"/>
        <family val="2"/>
        <scheme val="minor"/>
      </rPr>
      <t>]</t>
    </r>
  </si>
  <si>
    <r>
      <t>erste Kategorie (3</t>
    </r>
    <r>
      <rPr>
        <sz val="11"/>
        <rFont val="Calibri"/>
        <family val="2"/>
        <scheme val="minor"/>
      </rPr>
      <t>-20 m</t>
    </r>
    <r>
      <rPr>
        <sz val="11"/>
        <rFont val="Calibri"/>
        <family val="2"/>
      </rPr>
      <t>³/h</t>
    </r>
    <r>
      <rPr>
        <sz val="11"/>
        <color theme="1"/>
        <rFont val="Calibri"/>
        <family val="2"/>
        <scheme val="minor"/>
      </rPr>
      <t>)</t>
    </r>
  </si>
  <si>
    <t>zweite Kategorie (30-120 m³/h)</t>
  </si>
  <si>
    <t>dritte Kategorie (&gt; 120 m³/h)</t>
  </si>
  <si>
    <t>d) Anschlüsse sortieren nach Kategorie</t>
  </si>
  <si>
    <t>für die erste Kategorie (CHF)</t>
  </si>
  <si>
    <t>für die zweite Kategorie (CHF)</t>
  </si>
  <si>
    <t>für die dritte Kategorie (CHF)</t>
  </si>
  <si>
    <r>
      <t>Tarif pro m</t>
    </r>
    <r>
      <rPr>
        <b/>
        <sz val="11"/>
        <color theme="1"/>
        <rFont val="Calibri"/>
        <family val="2"/>
      </rPr>
      <t>³</t>
    </r>
  </si>
  <si>
    <t>c) Wasserzählerkategorien und Degression festlegen, zum Beispiel:</t>
  </si>
  <si>
    <r>
      <t>Tarif Wasserzähler (CHF pro m</t>
    </r>
    <r>
      <rPr>
        <b/>
        <sz val="11"/>
        <color theme="1"/>
        <rFont val="Calibri"/>
        <family val="2"/>
      </rPr>
      <t>³</t>
    </r>
    <r>
      <rPr>
        <b/>
        <sz val="11"/>
        <color theme="1"/>
        <rFont val="Calibri"/>
        <family val="2"/>
        <scheme val="minor"/>
      </rPr>
      <t>/h)</t>
    </r>
  </si>
  <si>
    <r>
      <t>Wasserzähler [Dauerdurchfluss 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>/h]</t>
    </r>
  </si>
  <si>
    <r>
      <t>Jahresverbrauch [m</t>
    </r>
    <r>
      <rPr>
        <sz val="11"/>
        <color theme="1"/>
        <rFont val="Calibri"/>
        <family val="2"/>
      </rPr>
      <t>³/a]</t>
    </r>
  </si>
  <si>
    <t>Gebühr Wasserzähler [CHF]</t>
  </si>
  <si>
    <t>Total Jahresgebühr [CHF/an]</t>
  </si>
  <si>
    <t>a) Anrechenbare Kosten</t>
  </si>
  <si>
    <r>
      <t>b) Anzahl m</t>
    </r>
    <r>
      <rPr>
        <b/>
        <sz val="11"/>
        <color theme="1"/>
        <rFont val="Calibri"/>
        <family val="2"/>
      </rPr>
      <t>³ pro Jahr</t>
    </r>
  </si>
  <si>
    <t>(Beispiel)</t>
  </si>
  <si>
    <t>Jährliche Gebühr (Variante C)</t>
  </si>
  <si>
    <t>LU</t>
  </si>
  <si>
    <r>
      <t>b) Verbrauch (m</t>
    </r>
    <r>
      <rPr>
        <b/>
        <sz val="11"/>
        <color theme="1"/>
        <rFont val="Calibri"/>
        <family val="2"/>
      </rPr>
      <t>³ pro Jahr)</t>
    </r>
  </si>
  <si>
    <t>c) Belastungswert-Kategorien und Degression festlegen, zum Beispiel:</t>
  </si>
  <si>
    <r>
      <t>erste Kategorie (</t>
    </r>
    <r>
      <rPr>
        <sz val="11"/>
        <rFont val="Calibri"/>
        <family val="2"/>
        <scheme val="minor"/>
      </rPr>
      <t>1 bis 50 LU</t>
    </r>
    <r>
      <rPr>
        <sz val="11"/>
        <color theme="1"/>
        <rFont val="Calibri"/>
        <family val="2"/>
        <scheme val="minor"/>
      </rPr>
      <t>)</t>
    </r>
  </si>
  <si>
    <t>zweite Kategorie (51 bis 150 LU)</t>
  </si>
  <si>
    <t>Tarif LU (CHF / LU)</t>
  </si>
  <si>
    <t>für die nächsten 100 LU, pro LU</t>
  </si>
  <si>
    <t>für die ersten 50 LU, pro LU (CHF)</t>
  </si>
  <si>
    <t>dritte Kategorie (&gt; 150 LU)</t>
  </si>
  <si>
    <t>für alle weiteren LU</t>
  </si>
  <si>
    <t>Anzahl LU</t>
  </si>
  <si>
    <t>LU-Gebühr in CHF</t>
  </si>
  <si>
    <r>
      <t>m</t>
    </r>
    <r>
      <rPr>
        <sz val="11"/>
        <color theme="1"/>
        <rFont val="Calibri"/>
        <family val="2"/>
      </rPr>
      <t>³-Gebühr</t>
    </r>
  </si>
  <si>
    <t>Bauvolumen über massgebendem Terrain</t>
  </si>
  <si>
    <r>
      <t>BVm [m</t>
    </r>
    <r>
      <rPr>
        <u val="singleAccounting"/>
        <sz val="11"/>
        <color theme="1"/>
        <rFont val="Calibri"/>
        <family val="2"/>
      </rPr>
      <t>³]</t>
    </r>
  </si>
  <si>
    <t>Vorzugslast [CHF]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</si>
</sst>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00"/>
    <numFmt numFmtId="167" formatCode="_ * #,##0.0_ ;_ * \-#,##0.0_ ;_ * &quot;-&quot;??_ ;_ @_ "/>
    <numFmt numFmtId="168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theme="1"/>
      <name val="Calibri"/>
      <family val="2"/>
    </font>
    <font>
      <sz val="11"/>
      <color theme="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</font>
    <font>
      <sz val="11"/>
      <name val="Calibri"/>
      <family val="2"/>
    </font>
    <font>
      <b/>
      <u/>
      <sz val="11"/>
      <color theme="1"/>
      <name val="Calibri"/>
      <family val="2"/>
    </font>
    <font>
      <sz val="1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7" tint="0.3999450666829432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43" fontId="0" fillId="0" borderId="0" xfId="1" applyNumberFormat="1" applyFont="1"/>
    <xf numFmtId="164" fontId="0" fillId="0" borderId="0" xfId="1" applyNumberFormat="1" applyFont="1" applyBorder="1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164" fontId="0" fillId="0" borderId="1" xfId="1" applyNumberFormat="1" applyFont="1" applyBorder="1"/>
    <xf numFmtId="43" fontId="0" fillId="0" borderId="1" xfId="1" applyNumberFormat="1" applyFont="1" applyBorder="1"/>
    <xf numFmtId="164" fontId="0" fillId="0" borderId="0" xfId="0" applyNumberFormat="1"/>
    <xf numFmtId="165" fontId="0" fillId="0" borderId="0" xfId="2" applyNumberFormat="1" applyFont="1"/>
    <xf numFmtId="0" fontId="3" fillId="0" borderId="0" xfId="0" applyFont="1" applyAlignment="1"/>
    <xf numFmtId="0" fontId="0" fillId="0" borderId="3" xfId="0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5" xfId="0" applyFill="1" applyBorder="1" applyAlignment="1"/>
    <xf numFmtId="0" fontId="0" fillId="0" borderId="0" xfId="0" applyFill="1" applyBorder="1" applyAlignment="1"/>
    <xf numFmtId="0" fontId="0" fillId="0" borderId="0" xfId="0" applyAlignment="1">
      <alignment horizontal="center"/>
    </xf>
    <xf numFmtId="164" fontId="0" fillId="0" borderId="4" xfId="1" applyNumberFormat="1" applyFont="1" applyBorder="1"/>
    <xf numFmtId="164" fontId="0" fillId="0" borderId="6" xfId="1" applyNumberFormat="1" applyFont="1" applyBorder="1"/>
    <xf numFmtId="0" fontId="0" fillId="0" borderId="2" xfId="0" applyFill="1" applyBorder="1" applyAlignment="1">
      <alignment vertical="top" wrapText="1"/>
    </xf>
    <xf numFmtId="0" fontId="0" fillId="0" borderId="0" xfId="0" applyBorder="1" applyAlignment="1"/>
    <xf numFmtId="43" fontId="0" fillId="0" borderId="0" xfId="0" applyNumberFormat="1"/>
    <xf numFmtId="0" fontId="0" fillId="3" borderId="7" xfId="0" applyFill="1" applyBorder="1" applyAlignment="1"/>
    <xf numFmtId="0" fontId="0" fillId="0" borderId="0" xfId="0" applyAlignment="1">
      <alignment horizontal="right"/>
    </xf>
    <xf numFmtId="9" fontId="0" fillId="2" borderId="7" xfId="2" applyFont="1" applyFill="1" applyBorder="1"/>
    <xf numFmtId="0" fontId="2" fillId="4" borderId="7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2" fillId="4" borderId="7" xfId="0" applyFont="1" applyFill="1" applyBorder="1" applyAlignment="1">
      <alignment vertical="top" wrapText="1"/>
    </xf>
    <xf numFmtId="166" fontId="0" fillId="2" borderId="7" xfId="0" applyNumberFormat="1" applyFill="1" applyBorder="1"/>
    <xf numFmtId="0" fontId="0" fillId="0" borderId="0" xfId="1" applyNumberFormat="1" applyFont="1"/>
    <xf numFmtId="0" fontId="0" fillId="0" borderId="1" xfId="1" applyNumberFormat="1" applyFont="1" applyBorder="1"/>
    <xf numFmtId="0" fontId="0" fillId="0" borderId="5" xfId="0" applyBorder="1" applyAlignment="1"/>
    <xf numFmtId="0" fontId="0" fillId="0" borderId="8" xfId="0" applyFill="1" applyBorder="1" applyAlignment="1"/>
    <xf numFmtId="164" fontId="0" fillId="0" borderId="8" xfId="1" applyNumberFormat="1" applyFont="1" applyBorder="1"/>
    <xf numFmtId="0" fontId="2" fillId="5" borderId="7" xfId="0" applyFont="1" applyFill="1" applyBorder="1" applyAlignment="1">
      <alignment wrapText="1"/>
    </xf>
    <xf numFmtId="164" fontId="0" fillId="0" borderId="9" xfId="1" applyNumberFormat="1" applyFont="1" applyBorder="1"/>
    <xf numFmtId="0" fontId="0" fillId="0" borderId="0" xfId="0" applyFill="1" applyBorder="1"/>
    <xf numFmtId="1" fontId="0" fillId="2" borderId="7" xfId="0" applyNumberFormat="1" applyFill="1" applyBorder="1"/>
    <xf numFmtId="0" fontId="10" fillId="0" borderId="0" xfId="0" applyFont="1"/>
    <xf numFmtId="0" fontId="0" fillId="0" borderId="0" xfId="0" applyBorder="1"/>
    <xf numFmtId="0" fontId="11" fillId="7" borderId="10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0" fillId="3" borderId="7" xfId="0" applyFill="1" applyBorder="1" applyAlignment="1">
      <alignment wrapText="1"/>
    </xf>
    <xf numFmtId="164" fontId="0" fillId="0" borderId="0" xfId="1" applyNumberFormat="1" applyFont="1" applyAlignment="1">
      <alignment wrapText="1"/>
    </xf>
    <xf numFmtId="164" fontId="0" fillId="0" borderId="6" xfId="1" applyNumberFormat="1" applyFont="1" applyBorder="1" applyAlignment="1">
      <alignment wrapText="1"/>
    </xf>
    <xf numFmtId="0" fontId="0" fillId="0" borderId="0" xfId="0" applyAlignment="1">
      <alignment horizontal="right" wrapText="1"/>
    </xf>
    <xf numFmtId="0" fontId="9" fillId="0" borderId="0" xfId="0" applyFont="1" applyAlignment="1">
      <alignment horizontal="right" wrapText="1"/>
    </xf>
    <xf numFmtId="166" fontId="0" fillId="2" borderId="7" xfId="0" applyNumberFormat="1" applyFill="1" applyBorder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1" fontId="0" fillId="2" borderId="7" xfId="0" applyNumberFormat="1" applyFill="1" applyBorder="1" applyAlignment="1">
      <alignment wrapText="1"/>
    </xf>
    <xf numFmtId="0" fontId="11" fillId="7" borderId="10" xfId="0" applyFont="1" applyFill="1" applyBorder="1" applyAlignment="1">
      <alignment horizontal="right" wrapText="1"/>
    </xf>
    <xf numFmtId="168" fontId="0" fillId="2" borderId="7" xfId="0" applyNumberFormat="1" applyFill="1" applyBorder="1"/>
    <xf numFmtId="0" fontId="0" fillId="0" borderId="14" xfId="0" applyBorder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wrapText="1"/>
    </xf>
    <xf numFmtId="43" fontId="0" fillId="0" borderId="0" xfId="1" applyFont="1"/>
    <xf numFmtId="164" fontId="0" fillId="0" borderId="0" xfId="1" applyNumberFormat="1" applyFont="1" applyFill="1" applyBorder="1"/>
    <xf numFmtId="0" fontId="5" fillId="0" borderId="0" xfId="0" applyFont="1"/>
    <xf numFmtId="164" fontId="14" fillId="0" borderId="0" xfId="1" applyNumberFormat="1" applyFont="1"/>
    <xf numFmtId="0" fontId="14" fillId="0" borderId="0" xfId="0" applyFont="1"/>
    <xf numFmtId="0" fontId="6" fillId="0" borderId="0" xfId="0" applyFont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9" fontId="0" fillId="2" borderId="7" xfId="2" applyFont="1" applyFill="1" applyBorder="1" applyAlignment="1">
      <alignment horizontal="right" vertical="center"/>
    </xf>
    <xf numFmtId="164" fontId="13" fillId="0" borderId="0" xfId="1" applyNumberFormat="1" applyFont="1"/>
    <xf numFmtId="0" fontId="0" fillId="8" borderId="16" xfId="0" applyFill="1" applyBorder="1" applyAlignment="1">
      <alignment horizontal="right"/>
    </xf>
    <xf numFmtId="1" fontId="0" fillId="0" borderId="0" xfId="0" applyNumberFormat="1" applyFill="1" applyBorder="1" applyAlignment="1">
      <alignment wrapText="1"/>
    </xf>
    <xf numFmtId="0" fontId="0" fillId="0" borderId="0" xfId="1" applyNumberFormat="1" applyFont="1" applyBorder="1"/>
    <xf numFmtId="9" fontId="0" fillId="0" borderId="0" xfId="0" applyNumberFormat="1"/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7" xfId="0" applyBorder="1" applyAlignment="1">
      <alignment wrapText="1"/>
    </xf>
    <xf numFmtId="167" fontId="0" fillId="0" borderId="15" xfId="1" applyNumberFormat="1" applyFont="1" applyBorder="1" applyAlignment="1">
      <alignment wrapText="1"/>
    </xf>
    <xf numFmtId="167" fontId="0" fillId="0" borderId="17" xfId="1" applyNumberFormat="1" applyFont="1" applyBorder="1" applyAlignment="1">
      <alignment wrapText="1"/>
    </xf>
    <xf numFmtId="167" fontId="0" fillId="0" borderId="18" xfId="1" applyNumberFormat="1" applyFont="1" applyBorder="1" applyAlignment="1">
      <alignment wrapText="1"/>
    </xf>
    <xf numFmtId="0" fontId="13" fillId="0" borderId="0" xfId="0" applyFont="1" applyBorder="1" applyAlignment="1">
      <alignment wrapText="1"/>
    </xf>
    <xf numFmtId="1" fontId="0" fillId="0" borderId="0" xfId="0" applyNumberFormat="1" applyBorder="1" applyAlignment="1">
      <alignment wrapText="1"/>
    </xf>
    <xf numFmtId="0" fontId="13" fillId="0" borderId="0" xfId="0" applyFont="1" applyBorder="1"/>
    <xf numFmtId="1" fontId="0" fillId="0" borderId="0" xfId="0" applyNumberFormat="1" applyBorder="1"/>
    <xf numFmtId="0" fontId="8" fillId="0" borderId="0" xfId="0" applyFont="1" applyBorder="1"/>
    <xf numFmtId="2" fontId="0" fillId="0" borderId="7" xfId="0" applyNumberFormat="1" applyBorder="1" applyAlignment="1">
      <alignment wrapText="1"/>
    </xf>
    <xf numFmtId="164" fontId="0" fillId="0" borderId="0" xfId="0" applyNumberFormat="1" applyBorder="1"/>
    <xf numFmtId="0" fontId="14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textRotation="90"/>
    </xf>
    <xf numFmtId="0" fontId="0" fillId="0" borderId="9" xfId="0" applyBorder="1"/>
    <xf numFmtId="0" fontId="0" fillId="0" borderId="5" xfId="0" applyBorder="1"/>
    <xf numFmtId="43" fontId="0" fillId="0" borderId="0" xfId="1" applyNumberFormat="1" applyFont="1" applyBorder="1"/>
    <xf numFmtId="0" fontId="0" fillId="0" borderId="2" xfId="0" applyBorder="1"/>
    <xf numFmtId="0" fontId="0" fillId="8" borderId="20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2" fontId="11" fillId="7" borderId="21" xfId="0" applyNumberFormat="1" applyFont="1" applyFill="1" applyBorder="1" applyAlignment="1">
      <alignment wrapText="1"/>
    </xf>
    <xf numFmtId="1" fontId="2" fillId="6" borderId="7" xfId="0" applyNumberFormat="1" applyFont="1" applyFill="1" applyBorder="1" applyAlignment="1">
      <alignment wrapText="1"/>
    </xf>
    <xf numFmtId="164" fontId="0" fillId="0" borderId="2" xfId="1" applyNumberFormat="1" applyFont="1" applyBorder="1"/>
    <xf numFmtId="43" fontId="0" fillId="0" borderId="9" xfId="1" applyNumberFormat="1" applyFont="1" applyBorder="1" applyAlignment="1">
      <alignment wrapText="1"/>
    </xf>
    <xf numFmtId="43" fontId="0" fillId="0" borderId="0" xfId="1" applyNumberFormat="1" applyFont="1" applyBorder="1" applyAlignment="1">
      <alignment wrapText="1"/>
    </xf>
    <xf numFmtId="1" fontId="2" fillId="6" borderId="7" xfId="0" applyNumberFormat="1" applyFont="1" applyFill="1" applyBorder="1"/>
    <xf numFmtId="0" fontId="13" fillId="0" borderId="9" xfId="0" applyFont="1" applyBorder="1"/>
    <xf numFmtId="2" fontId="11" fillId="7" borderId="21" xfId="0" applyNumberFormat="1" applyFont="1" applyFill="1" applyBorder="1"/>
    <xf numFmtId="0" fontId="8" fillId="0" borderId="1" xfId="0" applyFont="1" applyBorder="1"/>
    <xf numFmtId="0" fontId="13" fillId="0" borderId="1" xfId="0" applyFont="1" applyBorder="1"/>
    <xf numFmtId="0" fontId="0" fillId="0" borderId="3" xfId="0" applyBorder="1"/>
    <xf numFmtId="0" fontId="2" fillId="0" borderId="0" xfId="0" applyFont="1" applyFill="1" applyBorder="1" applyAlignment="1">
      <alignment vertical="top" wrapText="1"/>
    </xf>
    <xf numFmtId="2" fontId="0" fillId="0" borderId="0" xfId="0" applyNumberFormat="1" applyFill="1" applyBorder="1"/>
    <xf numFmtId="0" fontId="2" fillId="0" borderId="0" xfId="0" applyFont="1" applyAlignment="1"/>
    <xf numFmtId="164" fontId="0" fillId="0" borderId="3" xfId="1" applyNumberFormat="1" applyFont="1" applyBorder="1"/>
    <xf numFmtId="164" fontId="0" fillId="0" borderId="0" xfId="1" applyNumberFormat="1" applyFont="1" applyAlignment="1"/>
    <xf numFmtId="43" fontId="2" fillId="0" borderId="0" xfId="1" applyNumberFormat="1" applyFont="1"/>
    <xf numFmtId="164" fontId="2" fillId="0" borderId="0" xfId="1" applyNumberFormat="1" applyFont="1"/>
    <xf numFmtId="0" fontId="2" fillId="0" borderId="0" xfId="0" applyFont="1"/>
    <xf numFmtId="2" fontId="11" fillId="7" borderId="7" xfId="0" applyNumberFormat="1" applyFont="1" applyFill="1" applyBorder="1" applyAlignment="1">
      <alignment wrapText="1"/>
    </xf>
    <xf numFmtId="164" fontId="14" fillId="0" borderId="11" xfId="1" applyNumberFormat="1" applyFont="1" applyBorder="1"/>
    <xf numFmtId="0" fontId="14" fillId="0" borderId="9" xfId="0" applyFont="1" applyBorder="1"/>
    <xf numFmtId="0" fontId="14" fillId="0" borderId="5" xfId="0" applyFont="1" applyFill="1" applyBorder="1" applyAlignment="1">
      <alignment horizontal="center"/>
    </xf>
    <xf numFmtId="43" fontId="0" fillId="0" borderId="19" xfId="1" applyFont="1" applyBorder="1"/>
    <xf numFmtId="164" fontId="0" fillId="0" borderId="2" xfId="1" applyNumberFormat="1" applyFont="1" applyFill="1" applyBorder="1" applyAlignment="1">
      <alignment horizontal="right"/>
    </xf>
    <xf numFmtId="164" fontId="0" fillId="0" borderId="19" xfId="1" applyNumberFormat="1" applyFont="1" applyBorder="1"/>
    <xf numFmtId="0" fontId="6" fillId="0" borderId="1" xfId="0" applyFont="1" applyBorder="1" applyAlignment="1">
      <alignment horizontal="right"/>
    </xf>
    <xf numFmtId="164" fontId="0" fillId="0" borderId="13" xfId="1" applyNumberFormat="1" applyFont="1" applyBorder="1"/>
    <xf numFmtId="0" fontId="0" fillId="0" borderId="4" xfId="0" applyBorder="1"/>
    <xf numFmtId="164" fontId="0" fillId="0" borderId="12" xfId="1" applyNumberFormat="1" applyFont="1" applyBorder="1"/>
    <xf numFmtId="2" fontId="0" fillId="0" borderId="2" xfId="0" applyNumberFormat="1" applyBorder="1"/>
    <xf numFmtId="0" fontId="0" fillId="0" borderId="10" xfId="0" applyBorder="1"/>
    <xf numFmtId="164" fontId="0" fillId="0" borderId="22" xfId="1" applyNumberFormat="1" applyFont="1" applyBorder="1"/>
    <xf numFmtId="0" fontId="0" fillId="0" borderId="22" xfId="0" applyBorder="1"/>
    <xf numFmtId="164" fontId="18" fillId="0" borderId="23" xfId="1" applyNumberFormat="1" applyFont="1" applyFill="1" applyBorder="1" applyAlignment="1">
      <alignment horizontal="right" wrapText="1"/>
    </xf>
    <xf numFmtId="0" fontId="0" fillId="0" borderId="25" xfId="0" applyBorder="1"/>
    <xf numFmtId="0" fontId="0" fillId="0" borderId="24" xfId="0" applyFill="1" applyBorder="1"/>
    <xf numFmtId="164" fontId="18" fillId="0" borderId="26" xfId="1" applyNumberFormat="1" applyFont="1" applyFill="1" applyBorder="1" applyAlignment="1">
      <alignment horizontal="right" wrapText="1"/>
    </xf>
    <xf numFmtId="0" fontId="2" fillId="9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4" borderId="12" xfId="0" applyFont="1" applyFill="1" applyBorder="1" applyAlignment="1">
      <alignment wrapText="1"/>
    </xf>
    <xf numFmtId="0" fontId="0" fillId="0" borderId="14" xfId="0" applyBorder="1" applyAlignment="1"/>
    <xf numFmtId="0" fontId="0" fillId="0" borderId="13" xfId="0" applyBorder="1" applyAlignment="1"/>
    <xf numFmtId="0" fontId="2" fillId="4" borderId="14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2" fillId="0" borderId="15" xfId="0" applyFont="1" applyBorder="1" applyAlignment="1">
      <alignment horizontal="center" vertical="center" textRotation="90"/>
    </xf>
    <xf numFmtId="0" fontId="0" fillId="0" borderId="17" xfId="0" applyBorder="1" applyAlignment="1"/>
    <xf numFmtId="0" fontId="0" fillId="0" borderId="19" xfId="0" applyBorder="1" applyAlignment="1"/>
    <xf numFmtId="0" fontId="0" fillId="0" borderId="4" xfId="0" applyBorder="1" applyAlignment="1"/>
    <xf numFmtId="0" fontId="0" fillId="0" borderId="18" xfId="0" applyBorder="1" applyAlignment="1"/>
    <xf numFmtId="0" fontId="2" fillId="0" borderId="1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</cellXfs>
  <cellStyles count="3">
    <cellStyle name="Milliers" xfId="1" builtinId="3"/>
    <cellStyle name="Normal" xfId="0" builtinId="0"/>
    <cellStyle name="Pourcentage" xfId="2" builtinId="5"/>
  </cellStyles>
  <dxfs count="1">
    <dxf>
      <font>
        <b/>
        <i val="0"/>
        <strike/>
        <u val="none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00CC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P34"/>
  <sheetViews>
    <sheetView tabSelected="1" zoomScale="90" zoomScaleNormal="90" workbookViewId="0">
      <selection activeCell="R20" sqref="R20"/>
    </sheetView>
  </sheetViews>
  <sheetFormatPr baseColWidth="10" defaultRowHeight="15" x14ac:dyDescent="0.25"/>
  <cols>
    <col min="1" max="1" width="34.140625" style="16" customWidth="1"/>
    <col min="2" max="3" width="21" customWidth="1"/>
    <col min="4" max="4" width="12.140625" customWidth="1"/>
    <col min="5" max="5" width="12.140625" hidden="1" customWidth="1"/>
    <col min="6" max="6" width="18.5703125" customWidth="1"/>
    <col min="7" max="7" width="12.28515625" bestFit="1" customWidth="1"/>
    <col min="8" max="8" width="13.85546875" customWidth="1"/>
    <col min="9" max="9" width="11.5703125" bestFit="1" customWidth="1"/>
    <col min="10" max="10" width="0" hidden="1" customWidth="1"/>
    <col min="11" max="11" width="12.28515625" hidden="1" customWidth="1"/>
    <col min="12" max="14" width="0" hidden="1" customWidth="1"/>
    <col min="16" max="16" width="0" hidden="1" customWidth="1"/>
  </cols>
  <sheetData>
    <row r="1" spans="1:16" x14ac:dyDescent="0.25">
      <c r="A1" s="13" t="s">
        <v>16</v>
      </c>
    </row>
    <row r="2" spans="1:16" x14ac:dyDescent="0.25">
      <c r="J2">
        <v>2010</v>
      </c>
      <c r="N2">
        <v>2013</v>
      </c>
    </row>
    <row r="3" spans="1:16" ht="49.5" customHeight="1" x14ac:dyDescent="0.25">
      <c r="A3" s="14" t="s">
        <v>18</v>
      </c>
      <c r="B3" s="6" t="s">
        <v>17</v>
      </c>
      <c r="C3" s="6"/>
      <c r="D3" s="6" t="s">
        <v>34</v>
      </c>
      <c r="E3" s="7" t="s">
        <v>4</v>
      </c>
      <c r="F3" s="7" t="s">
        <v>35</v>
      </c>
      <c r="G3" s="6" t="s">
        <v>37</v>
      </c>
      <c r="H3" s="7" t="s">
        <v>36</v>
      </c>
      <c r="I3" s="6" t="s">
        <v>38</v>
      </c>
      <c r="K3" s="8" t="s">
        <v>2</v>
      </c>
      <c r="N3" s="7" t="s">
        <v>3</v>
      </c>
    </row>
    <row r="4" spans="1:16" x14ac:dyDescent="0.25">
      <c r="A4" s="15" t="s">
        <v>19</v>
      </c>
      <c r="B4" s="2">
        <v>36309</v>
      </c>
      <c r="C4" s="32">
        <v>1942</v>
      </c>
      <c r="D4" s="2">
        <f>B4/H4</f>
        <v>726.18</v>
      </c>
      <c r="E4" s="32">
        <v>1942</v>
      </c>
      <c r="F4" s="3">
        <v>7.25</v>
      </c>
      <c r="G4" s="2">
        <f t="shared" ref="G4:G6" si="0">F4*B4</f>
        <v>263240.25</v>
      </c>
      <c r="H4" s="2">
        <v>50</v>
      </c>
      <c r="I4" s="2">
        <f t="shared" ref="I4:I7" si="1">G4/H4</f>
        <v>5264.8050000000003</v>
      </c>
      <c r="J4" s="11">
        <f>C4+H4-J$2</f>
        <v>-18</v>
      </c>
      <c r="K4" s="2">
        <f>IF(J4*I4&lt;0,0,I4*J4)</f>
        <v>0</v>
      </c>
      <c r="L4">
        <v>1.7000000000000001E-2</v>
      </c>
      <c r="M4" s="2">
        <f>G4*L4</f>
        <v>4475.0842499999999</v>
      </c>
      <c r="N4" s="2">
        <f>IF((E4-N$2+H4)&lt;0,0,((E4-N$2+H4)/H4)*G4)</f>
        <v>0</v>
      </c>
      <c r="P4">
        <f>H4*(G4/G$12)</f>
        <v>1.6471880482441426</v>
      </c>
    </row>
    <row r="5" spans="1:16" x14ac:dyDescent="0.25">
      <c r="A5" s="15" t="s">
        <v>20</v>
      </c>
      <c r="B5" s="2"/>
      <c r="C5" s="32"/>
      <c r="D5" s="2"/>
      <c r="E5" s="32"/>
      <c r="F5" s="3"/>
      <c r="G5" s="2">
        <f t="shared" si="0"/>
        <v>0</v>
      </c>
      <c r="H5" s="2"/>
      <c r="I5" s="2"/>
      <c r="J5" s="11">
        <f t="shared" ref="J5:J11" si="2">C5+H5-J$2</f>
        <v>-2010</v>
      </c>
      <c r="K5" s="2">
        <f t="shared" ref="K5:K11" si="3">IF(J5*I5&lt;0,0,I5*J5)</f>
        <v>0</v>
      </c>
      <c r="M5" s="2">
        <f t="shared" ref="M5:M11" si="4">G5*L5</f>
        <v>0</v>
      </c>
      <c r="N5" s="2">
        <f t="shared" ref="N5:N11" si="5">IF((E5-N$2+H5)&lt;0,0,((E5-N$2+H5)/H5)*G5)</f>
        <v>0</v>
      </c>
      <c r="P5">
        <f t="shared" ref="P5:P11" si="6">H5*(G5/G$12)</f>
        <v>0</v>
      </c>
    </row>
    <row r="6" spans="1:16" x14ac:dyDescent="0.25">
      <c r="A6" s="15" t="s">
        <v>21</v>
      </c>
      <c r="B6" s="2">
        <v>707309</v>
      </c>
      <c r="C6" s="32">
        <v>1978</v>
      </c>
      <c r="D6" s="2">
        <f t="shared" ref="D6:D11" si="7">B6/H6</f>
        <v>14146.18</v>
      </c>
      <c r="E6" s="32">
        <v>1978</v>
      </c>
      <c r="F6" s="3">
        <v>1.82</v>
      </c>
      <c r="G6" s="2">
        <f t="shared" si="0"/>
        <v>1287302.3800000001</v>
      </c>
      <c r="H6" s="2">
        <v>50</v>
      </c>
      <c r="I6" s="2">
        <f t="shared" si="1"/>
        <v>25746.047600000002</v>
      </c>
      <c r="J6" s="11">
        <f t="shared" si="2"/>
        <v>18</v>
      </c>
      <c r="K6" s="2">
        <f t="shared" si="3"/>
        <v>463428.85680000001</v>
      </c>
      <c r="L6">
        <v>1.7000000000000001E-2</v>
      </c>
      <c r="M6" s="2">
        <f t="shared" si="4"/>
        <v>21884.140460000002</v>
      </c>
      <c r="N6" s="2">
        <f t="shared" si="5"/>
        <v>386190.71400000004</v>
      </c>
      <c r="P6">
        <f t="shared" si="6"/>
        <v>8.0551097137016079</v>
      </c>
    </row>
    <row r="7" spans="1:16" x14ac:dyDescent="0.25">
      <c r="A7" s="15" t="s">
        <v>22</v>
      </c>
      <c r="B7" s="2">
        <v>12600</v>
      </c>
      <c r="C7" s="32">
        <v>2012</v>
      </c>
      <c r="D7" s="2"/>
      <c r="E7" s="32">
        <v>1978</v>
      </c>
      <c r="F7" s="3"/>
      <c r="G7" s="2">
        <v>12000</v>
      </c>
      <c r="H7" s="2">
        <v>40</v>
      </c>
      <c r="I7" s="2">
        <f t="shared" si="1"/>
        <v>300</v>
      </c>
      <c r="J7" s="11">
        <f t="shared" si="2"/>
        <v>42</v>
      </c>
      <c r="K7" s="2">
        <f t="shared" si="3"/>
        <v>12600</v>
      </c>
      <c r="M7" s="2">
        <f t="shared" si="4"/>
        <v>0</v>
      </c>
      <c r="N7" s="2">
        <f t="shared" si="5"/>
        <v>1500</v>
      </c>
      <c r="P7">
        <f t="shared" si="6"/>
        <v>6.0070620899135937E-2</v>
      </c>
    </row>
    <row r="8" spans="1:16" x14ac:dyDescent="0.25">
      <c r="A8" s="15" t="s">
        <v>23</v>
      </c>
      <c r="B8" s="2">
        <v>320109</v>
      </c>
      <c r="C8" s="32">
        <v>1942</v>
      </c>
      <c r="D8" s="2">
        <f t="shared" si="7"/>
        <v>4001.3625000000002</v>
      </c>
      <c r="E8" s="32">
        <v>1942</v>
      </c>
      <c r="F8" s="3">
        <v>7.25</v>
      </c>
      <c r="G8" s="2">
        <f>F8*B8</f>
        <v>2320790.25</v>
      </c>
      <c r="H8" s="2">
        <v>80</v>
      </c>
      <c r="I8" s="2">
        <f>G8/H8</f>
        <v>29009.878124999999</v>
      </c>
      <c r="J8" s="11">
        <f t="shared" si="2"/>
        <v>12</v>
      </c>
      <c r="K8" s="2">
        <f t="shared" si="3"/>
        <v>348118.53749999998</v>
      </c>
      <c r="L8">
        <v>4.0000000000000001E-3</v>
      </c>
      <c r="M8" s="2">
        <f t="shared" si="4"/>
        <v>9283.1610000000001</v>
      </c>
      <c r="N8" s="2">
        <f t="shared" si="5"/>
        <v>261088.90312500001</v>
      </c>
      <c r="P8">
        <f t="shared" si="6"/>
        <v>23.235218549026818</v>
      </c>
    </row>
    <row r="9" spans="1:16" x14ac:dyDescent="0.25">
      <c r="A9" s="15"/>
      <c r="B9" s="2">
        <v>1176420</v>
      </c>
      <c r="C9" s="32">
        <v>1978</v>
      </c>
      <c r="D9" s="2">
        <f t="shared" si="7"/>
        <v>14705.25</v>
      </c>
      <c r="E9" s="32">
        <v>1978</v>
      </c>
      <c r="F9" s="3">
        <v>1.82</v>
      </c>
      <c r="G9" s="2">
        <f>F9*B9</f>
        <v>2141084.4</v>
      </c>
      <c r="H9" s="2">
        <v>80</v>
      </c>
      <c r="I9" s="2">
        <f>G9/H9</f>
        <v>26763.555</v>
      </c>
      <c r="J9" s="11">
        <f t="shared" si="2"/>
        <v>48</v>
      </c>
      <c r="K9" s="2">
        <f t="shared" si="3"/>
        <v>1284650.6400000001</v>
      </c>
      <c r="L9">
        <v>4.0000000000000001E-3</v>
      </c>
      <c r="M9" s="2">
        <f t="shared" si="4"/>
        <v>8564.3375999999989</v>
      </c>
      <c r="N9" s="2">
        <f t="shared" si="5"/>
        <v>1204359.9749999999</v>
      </c>
      <c r="P9">
        <f t="shared" si="6"/>
        <v>21.436044884242321</v>
      </c>
    </row>
    <row r="10" spans="1:16" x14ac:dyDescent="0.25">
      <c r="A10" s="15" t="s">
        <v>24</v>
      </c>
      <c r="B10" s="2">
        <v>222895</v>
      </c>
      <c r="C10" s="32">
        <v>1942</v>
      </c>
      <c r="D10" s="2">
        <f t="shared" si="7"/>
        <v>3377.1969696969695</v>
      </c>
      <c r="E10" s="32">
        <v>1942</v>
      </c>
      <c r="F10" s="3">
        <v>7.25</v>
      </c>
      <c r="G10" s="2">
        <f>F10*B10</f>
        <v>1615988.75</v>
      </c>
      <c r="H10" s="2">
        <v>66</v>
      </c>
      <c r="I10" s="2">
        <f>G10/H10</f>
        <v>24484.678030303032</v>
      </c>
      <c r="J10" s="11">
        <f t="shared" si="2"/>
        <v>-2</v>
      </c>
      <c r="K10" s="2">
        <f t="shared" si="3"/>
        <v>0</v>
      </c>
      <c r="L10">
        <v>7.0000000000000001E-3</v>
      </c>
      <c r="M10" s="2">
        <f t="shared" si="4"/>
        <v>11311.921249999999</v>
      </c>
      <c r="N10" s="2">
        <f t="shared" si="5"/>
        <v>0</v>
      </c>
      <c r="P10">
        <f t="shared" si="6"/>
        <v>13.347599042046301</v>
      </c>
    </row>
    <row r="11" spans="1:16" x14ac:dyDescent="0.25">
      <c r="A11" s="14" t="s">
        <v>25</v>
      </c>
      <c r="B11" s="9">
        <v>301887</v>
      </c>
      <c r="C11" s="33">
        <v>1993</v>
      </c>
      <c r="D11" s="9">
        <f t="shared" si="7"/>
        <v>15094.35</v>
      </c>
      <c r="E11" s="33">
        <v>1993</v>
      </c>
      <c r="F11" s="10">
        <v>1.1599999999999999</v>
      </c>
      <c r="G11" s="9">
        <f>F11*B11</f>
        <v>350188.92</v>
      </c>
      <c r="H11" s="9">
        <v>20</v>
      </c>
      <c r="I11" s="9">
        <f>G11/H11</f>
        <v>17509.446</v>
      </c>
      <c r="J11" s="11">
        <f t="shared" si="2"/>
        <v>3</v>
      </c>
      <c r="K11" s="2">
        <f t="shared" si="3"/>
        <v>52528.338000000003</v>
      </c>
      <c r="L11">
        <v>0.02</v>
      </c>
      <c r="M11" s="2">
        <f t="shared" si="4"/>
        <v>7003.7784000000001</v>
      </c>
      <c r="N11" s="2">
        <f t="shared" si="5"/>
        <v>0</v>
      </c>
      <c r="P11">
        <f t="shared" si="6"/>
        <v>0.87650274401657668</v>
      </c>
    </row>
    <row r="12" spans="1:16" x14ac:dyDescent="0.25">
      <c r="A12" s="34"/>
      <c r="B12" s="4">
        <f>SUM(B4:B11)</f>
        <v>2777529</v>
      </c>
      <c r="C12" s="72"/>
      <c r="D12" s="4">
        <f>SUM(D4:D11)</f>
        <v>52050.51946969697</v>
      </c>
      <c r="E12" s="4"/>
      <c r="F12" s="4"/>
      <c r="G12" s="4">
        <f>SUM(G4:G11)</f>
        <v>7990594.9499999993</v>
      </c>
      <c r="H12" s="2"/>
      <c r="I12" s="4">
        <f>SUM(I4:I11)</f>
        <v>129078.40975530303</v>
      </c>
      <c r="J12" s="4">
        <f t="shared" ref="J12:N12" si="8">SUM(J4:J11)</f>
        <v>-1907</v>
      </c>
      <c r="K12" s="4">
        <f t="shared" si="8"/>
        <v>2161326.3723000004</v>
      </c>
      <c r="L12" s="4">
        <f t="shared" si="8"/>
        <v>6.9000000000000006E-2</v>
      </c>
      <c r="M12" s="4">
        <f t="shared" si="8"/>
        <v>62522.422960000004</v>
      </c>
      <c r="N12" s="4">
        <f t="shared" si="8"/>
        <v>1853139.592125</v>
      </c>
    </row>
    <row r="13" spans="1:16" x14ac:dyDescent="0.25">
      <c r="A13" s="14" t="s">
        <v>26</v>
      </c>
      <c r="B13" s="20"/>
      <c r="C13" s="33"/>
      <c r="D13" s="9"/>
      <c r="E13" s="9"/>
      <c r="F13" s="9"/>
      <c r="G13" s="9"/>
      <c r="H13" s="9"/>
      <c r="I13" s="9"/>
      <c r="L13" s="2"/>
    </row>
    <row r="14" spans="1:16" x14ac:dyDescent="0.25">
      <c r="A14" s="17" t="s">
        <v>27</v>
      </c>
      <c r="B14" s="4"/>
      <c r="C14" s="72"/>
      <c r="D14" s="4"/>
      <c r="E14" s="4"/>
      <c r="F14" s="4"/>
      <c r="G14" s="4"/>
      <c r="H14" s="4"/>
      <c r="I14" s="4"/>
      <c r="L14" s="2"/>
    </row>
    <row r="15" spans="1:16" x14ac:dyDescent="0.25">
      <c r="A15" s="15" t="s">
        <v>19</v>
      </c>
      <c r="B15" s="2">
        <f>B4</f>
        <v>36309</v>
      </c>
      <c r="C15" s="32">
        <f>C4</f>
        <v>1942</v>
      </c>
      <c r="D15" s="2">
        <f>D4</f>
        <v>726.18</v>
      </c>
      <c r="E15" s="2">
        <v>1942</v>
      </c>
      <c r="F15" s="3">
        <f>F4</f>
        <v>7.25</v>
      </c>
      <c r="G15" s="2">
        <f>G4</f>
        <v>263240.25</v>
      </c>
      <c r="H15" s="2">
        <f>H4</f>
        <v>50</v>
      </c>
      <c r="I15" s="2">
        <f>I4</f>
        <v>5264.8050000000003</v>
      </c>
      <c r="J15" s="2">
        <f t="shared" ref="J15:N15" si="9">SUM(J16:J19)</f>
        <v>0</v>
      </c>
      <c r="K15" s="2">
        <f t="shared" si="9"/>
        <v>0</v>
      </c>
      <c r="L15" s="2">
        <f t="shared" si="9"/>
        <v>3.8000000000000006E-2</v>
      </c>
      <c r="M15" s="2">
        <f t="shared" si="9"/>
        <v>27181.171710000002</v>
      </c>
      <c r="N15" s="2">
        <f t="shared" si="9"/>
        <v>410807.97337500006</v>
      </c>
      <c r="P15">
        <f>H15*(G15/G$19)*-1</f>
        <v>-7.4444534965816</v>
      </c>
    </row>
    <row r="16" spans="1:16" x14ac:dyDescent="0.25">
      <c r="A16" s="15" t="s">
        <v>28</v>
      </c>
      <c r="B16" s="2">
        <v>28343</v>
      </c>
      <c r="C16" s="32"/>
      <c r="D16" s="2">
        <f>B16/H16</f>
        <v>354.28750000000002</v>
      </c>
      <c r="E16" s="2">
        <v>1942</v>
      </c>
      <c r="F16" s="3">
        <f>F15</f>
        <v>7.25</v>
      </c>
      <c r="G16" s="2">
        <f>B16*F16</f>
        <v>205486.75</v>
      </c>
      <c r="H16" s="2">
        <v>80</v>
      </c>
      <c r="I16" s="2">
        <f>G16/H16</f>
        <v>2568.5843749999999</v>
      </c>
      <c r="L16">
        <f>L4</f>
        <v>1.7000000000000001E-2</v>
      </c>
      <c r="M16" s="24">
        <f>L16*G15</f>
        <v>4475.0842499999999</v>
      </c>
      <c r="N16" s="2">
        <f>IF((E15-N$2+H15)&lt;0,0,((E15-N$2+H15)/H15)*G15)</f>
        <v>0</v>
      </c>
      <c r="P16">
        <f t="shared" ref="P16:P18" si="10">H16*(G16/G$19)*-1</f>
        <v>-9.2978884773962296</v>
      </c>
    </row>
    <row r="17" spans="1:16" x14ac:dyDescent="0.25">
      <c r="A17" s="15" t="s">
        <v>22</v>
      </c>
      <c r="B17" s="2">
        <f>B7</f>
        <v>12600</v>
      </c>
      <c r="C17" s="32">
        <f>C7</f>
        <v>2012</v>
      </c>
      <c r="D17" s="2">
        <f>D7</f>
        <v>0</v>
      </c>
      <c r="E17" s="2">
        <v>1978</v>
      </c>
      <c r="F17" s="3">
        <f>F7</f>
        <v>0</v>
      </c>
      <c r="G17" s="2">
        <f>G7</f>
        <v>12000</v>
      </c>
      <c r="H17" s="2">
        <f>H7</f>
        <v>40</v>
      </c>
      <c r="I17" s="2">
        <f>I7</f>
        <v>300</v>
      </c>
      <c r="L17">
        <f>L9</f>
        <v>4.0000000000000001E-3</v>
      </c>
      <c r="M17" s="24">
        <f>L17*G16</f>
        <v>821.947</v>
      </c>
      <c r="N17" s="2">
        <f>IF((E16-N$2+H16)&lt;0,0,((E16-N$2+H16)/H16)*G16)</f>
        <v>23117.259375000001</v>
      </c>
      <c r="P17">
        <f t="shared" si="10"/>
        <v>-0.27148870116626678</v>
      </c>
    </row>
    <row r="18" spans="1:16" x14ac:dyDescent="0.25">
      <c r="A18" s="14" t="s">
        <v>21</v>
      </c>
      <c r="B18" s="9">
        <f>B6</f>
        <v>707309</v>
      </c>
      <c r="C18" s="33">
        <f>C6</f>
        <v>1978</v>
      </c>
      <c r="D18" s="9">
        <f>D6</f>
        <v>14146.18</v>
      </c>
      <c r="E18" s="9">
        <v>1978</v>
      </c>
      <c r="F18" s="10">
        <f>F6</f>
        <v>1.82</v>
      </c>
      <c r="G18" s="9">
        <f>G6</f>
        <v>1287302.3800000001</v>
      </c>
      <c r="H18" s="9">
        <f>H6</f>
        <v>50</v>
      </c>
      <c r="I18" s="9">
        <f>I6</f>
        <v>25746.047600000002</v>
      </c>
      <c r="M18" s="24">
        <f>L18*G17</f>
        <v>0</v>
      </c>
      <c r="N18" s="2">
        <f>IF((E17-N$2+H17)&lt;0,0,((E17-N$2+H17)/H17)*G17)</f>
        <v>1500</v>
      </c>
      <c r="P18">
        <f t="shared" si="10"/>
        <v>-36.405005328587926</v>
      </c>
    </row>
    <row r="19" spans="1:16" x14ac:dyDescent="0.25">
      <c r="A19" s="15"/>
      <c r="G19" s="2">
        <f>SUM(G15:G18)</f>
        <v>1768029.3800000001</v>
      </c>
      <c r="H19" s="2"/>
      <c r="I19" s="2">
        <f>SUM(I15:I18)</f>
        <v>33879.436975000004</v>
      </c>
      <c r="L19">
        <f>L6</f>
        <v>1.7000000000000001E-2</v>
      </c>
      <c r="M19" s="24">
        <f>L19*G18</f>
        <v>21884.140460000002</v>
      </c>
      <c r="N19" s="2">
        <f>IF((E18-N$2+H18)&lt;0,0,((E18-N$2+H18)/H18)*G18)</f>
        <v>386190.71400000004</v>
      </c>
    </row>
    <row r="20" spans="1:16" ht="30" x14ac:dyDescent="0.25">
      <c r="A20" s="22" t="s">
        <v>29</v>
      </c>
      <c r="B20" s="9"/>
      <c r="C20" s="9"/>
      <c r="D20" s="9"/>
      <c r="E20" s="9"/>
      <c r="F20" s="10"/>
      <c r="G20" s="5"/>
      <c r="H20" s="5"/>
      <c r="I20" s="5"/>
      <c r="L20" s="2"/>
      <c r="M20" s="24">
        <f>SUM(M21:M24)-SUM(M16:M19)</f>
        <v>-24161.171710000002</v>
      </c>
      <c r="N20">
        <f t="shared" ref="N20" si="11">SUM(N21:N24)</f>
        <v>0</v>
      </c>
    </row>
    <row r="21" spans="1:16" x14ac:dyDescent="0.25">
      <c r="A21" s="15" t="s">
        <v>30</v>
      </c>
      <c r="B21" s="2">
        <v>60000</v>
      </c>
      <c r="C21" s="2"/>
      <c r="D21" s="2">
        <f>B21/H21</f>
        <v>1200</v>
      </c>
      <c r="E21" s="2"/>
      <c r="F21" s="3">
        <v>1</v>
      </c>
      <c r="G21" s="2">
        <f>B21*F21</f>
        <v>60000</v>
      </c>
      <c r="H21" s="2">
        <v>50</v>
      </c>
      <c r="I21" s="2">
        <f>G21/H21</f>
        <v>1200</v>
      </c>
      <c r="L21" s="2">
        <f>L4</f>
        <v>1.7000000000000001E-2</v>
      </c>
      <c r="M21" s="24">
        <f>L21*G21</f>
        <v>1020.0000000000001</v>
      </c>
      <c r="N21">
        <f>IF((E21-N$2+H21)&lt;0,0,((E21-N$2+H21)/H21)*G21)</f>
        <v>0</v>
      </c>
      <c r="P21">
        <f>H21*(G21/G$25)</f>
        <v>7.237635705669482</v>
      </c>
    </row>
    <row r="22" spans="1:16" x14ac:dyDescent="0.25">
      <c r="A22" s="15" t="s">
        <v>31</v>
      </c>
      <c r="B22" s="2">
        <v>94500</v>
      </c>
      <c r="C22" s="2"/>
      <c r="D22" s="2">
        <f>B22/H22</f>
        <v>3780</v>
      </c>
      <c r="E22" s="2"/>
      <c r="F22" s="3">
        <v>1</v>
      </c>
      <c r="G22" s="2">
        <f>B22*F22</f>
        <v>94500</v>
      </c>
      <c r="H22" s="2">
        <v>25</v>
      </c>
      <c r="I22" s="2">
        <f t="shared" ref="I22:I24" si="12">G22/H22</f>
        <v>3780</v>
      </c>
      <c r="L22" s="2"/>
      <c r="M22" s="24">
        <f t="shared" ref="M22:M24" si="13">L22*G22</f>
        <v>0</v>
      </c>
      <c r="N22">
        <f t="shared" ref="N22:N24" si="14">IF((E22-N$2+H22)&lt;0,0,((E22-N$2+H22)/H22)*G22)</f>
        <v>0</v>
      </c>
      <c r="P22">
        <f t="shared" ref="P22:P24" si="15">H22*(G22/G$25)</f>
        <v>5.6996381182147164</v>
      </c>
    </row>
    <row r="23" spans="1:16" x14ac:dyDescent="0.25">
      <c r="A23" s="15" t="s">
        <v>32</v>
      </c>
      <c r="B23" s="2">
        <v>60000</v>
      </c>
      <c r="C23" s="2"/>
      <c r="D23" s="2">
        <f t="shared" ref="D23:D24" si="16">B23/H23</f>
        <v>3000</v>
      </c>
      <c r="E23" s="2"/>
      <c r="F23" s="3">
        <v>1</v>
      </c>
      <c r="G23" s="2">
        <f t="shared" ref="G23:G24" si="17">B23*F23</f>
        <v>60000</v>
      </c>
      <c r="H23" s="2">
        <v>20</v>
      </c>
      <c r="I23" s="2">
        <f t="shared" si="12"/>
        <v>3000</v>
      </c>
      <c r="L23" s="2">
        <f>L11</f>
        <v>0.02</v>
      </c>
      <c r="M23" s="24">
        <f t="shared" si="13"/>
        <v>1200</v>
      </c>
      <c r="N23">
        <f t="shared" si="14"/>
        <v>0</v>
      </c>
      <c r="P23">
        <f t="shared" si="15"/>
        <v>2.8950542822677927</v>
      </c>
    </row>
    <row r="24" spans="1:16" x14ac:dyDescent="0.25">
      <c r="A24" s="14" t="s">
        <v>33</v>
      </c>
      <c r="B24" s="9">
        <v>200000</v>
      </c>
      <c r="C24" s="9"/>
      <c r="D24" s="9">
        <f t="shared" si="16"/>
        <v>2500</v>
      </c>
      <c r="E24" s="9"/>
      <c r="F24" s="10">
        <v>1</v>
      </c>
      <c r="G24" s="9">
        <f t="shared" si="17"/>
        <v>200000</v>
      </c>
      <c r="H24" s="9">
        <v>80</v>
      </c>
      <c r="I24" s="9">
        <f t="shared" si="12"/>
        <v>2500</v>
      </c>
      <c r="L24" s="2">
        <f>L9</f>
        <v>4.0000000000000001E-3</v>
      </c>
      <c r="M24" s="24">
        <f t="shared" si="13"/>
        <v>800</v>
      </c>
      <c r="N24">
        <f t="shared" si="14"/>
        <v>0</v>
      </c>
      <c r="P24">
        <f t="shared" si="15"/>
        <v>38.600723763570571</v>
      </c>
    </row>
    <row r="25" spans="1:16" x14ac:dyDescent="0.25">
      <c r="A25" s="23"/>
      <c r="B25" s="2"/>
      <c r="C25" s="2"/>
      <c r="D25" s="2"/>
      <c r="E25" s="2"/>
      <c r="F25" s="3"/>
      <c r="G25" s="4">
        <f>SUM(G21:G24)</f>
        <v>414500</v>
      </c>
      <c r="H25" s="4">
        <f>P27</f>
        <v>69.671949468167441</v>
      </c>
      <c r="I25" s="4">
        <f>SUM(I21:I24)</f>
        <v>10480</v>
      </c>
      <c r="L25" s="2"/>
      <c r="M25" s="24"/>
    </row>
    <row r="26" spans="1:16" x14ac:dyDescent="0.25">
      <c r="A26" s="23"/>
      <c r="B26" s="2"/>
      <c r="C26" s="2"/>
      <c r="D26" s="2"/>
      <c r="E26" s="2"/>
      <c r="F26" s="3"/>
      <c r="G26" s="4"/>
      <c r="H26" s="4"/>
      <c r="I26" s="4"/>
      <c r="L26" s="2"/>
      <c r="M26" s="24"/>
    </row>
    <row r="27" spans="1:16" ht="15.75" thickBot="1" x14ac:dyDescent="0.3">
      <c r="A27" s="35" t="s">
        <v>0</v>
      </c>
      <c r="B27" s="36"/>
      <c r="C27" s="36"/>
      <c r="D27" s="36"/>
      <c r="E27" s="36"/>
      <c r="F27" s="36"/>
      <c r="G27" s="36">
        <f>G12-G19+G25</f>
        <v>6637065.5699999994</v>
      </c>
      <c r="H27" s="36">
        <f>G27/I27</f>
        <v>62.804031827578939</v>
      </c>
      <c r="I27" s="36">
        <f>I12-I19+I25</f>
        <v>105678.97278030303</v>
      </c>
      <c r="L27" s="2"/>
      <c r="M27" s="24">
        <f>M12+M20</f>
        <v>38361.251250000001</v>
      </c>
      <c r="P27">
        <f>SUM(P4:P26)</f>
        <v>69.671949468167441</v>
      </c>
    </row>
    <row r="28" spans="1:16" ht="15.75" thickTop="1" x14ac:dyDescent="0.25">
      <c r="A28" s="18"/>
    </row>
    <row r="30" spans="1:16" ht="15.75" thickBot="1" x14ac:dyDescent="0.3">
      <c r="A30" s="114" t="s">
        <v>39</v>
      </c>
      <c r="I30" s="21">
        <f>I27</f>
        <v>105678.97278030303</v>
      </c>
    </row>
    <row r="32" spans="1:16" x14ac:dyDescent="0.25">
      <c r="A32" s="16" t="s">
        <v>40</v>
      </c>
      <c r="I32" s="27">
        <v>1</v>
      </c>
    </row>
    <row r="33" spans="1:9" x14ac:dyDescent="0.25">
      <c r="B33" s="11"/>
      <c r="C33" s="11"/>
      <c r="D33" s="19"/>
      <c r="E33" s="19"/>
      <c r="F33" s="12"/>
      <c r="I33" s="11"/>
    </row>
    <row r="34" spans="1:9" ht="15.75" thickBot="1" x14ac:dyDescent="0.3">
      <c r="A34" s="16" t="s">
        <v>41</v>
      </c>
      <c r="D34" s="11"/>
      <c r="E34" s="11"/>
      <c r="I34" s="21">
        <f>ROUND((I32*I30)/1000,0)*1000</f>
        <v>106000</v>
      </c>
    </row>
  </sheetData>
  <conditionalFormatting sqref="I32">
    <cfRule type="cellIs" dxfId="0" priority="1" stopIfTrue="1" operator="notBetween">
      <formula>0.5</formula>
      <formula>1</formula>
    </cfRule>
  </conditionalFormatting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I20"/>
  <sheetViews>
    <sheetView workbookViewId="0">
      <selection activeCell="G13" sqref="G13"/>
    </sheetView>
  </sheetViews>
  <sheetFormatPr baseColWidth="10" defaultRowHeight="15" x14ac:dyDescent="0.25"/>
  <cols>
    <col min="1" max="1" width="32" customWidth="1"/>
    <col min="3" max="3" width="5.7109375" customWidth="1"/>
    <col min="4" max="5" width="20.7109375" customWidth="1"/>
    <col min="6" max="6" width="5.7109375" customWidth="1"/>
  </cols>
  <sheetData>
    <row r="1" spans="1:9" x14ac:dyDescent="0.25">
      <c r="A1" s="13" t="s">
        <v>42</v>
      </c>
    </row>
    <row r="3" spans="1:9" x14ac:dyDescent="0.25">
      <c r="A3" s="28" t="s">
        <v>43</v>
      </c>
      <c r="B3" s="28" t="s">
        <v>15</v>
      </c>
      <c r="D3" s="139" t="s">
        <v>55</v>
      </c>
      <c r="E3" s="140"/>
      <c r="G3" t="s">
        <v>0</v>
      </c>
    </row>
    <row r="4" spans="1:9" x14ac:dyDescent="0.25">
      <c r="A4" s="5"/>
      <c r="B4" s="5"/>
      <c r="C4" s="5"/>
      <c r="D4" s="5" t="s">
        <v>56</v>
      </c>
      <c r="E4" s="5" t="s">
        <v>57</v>
      </c>
      <c r="F4" s="2"/>
      <c r="G4" s="2"/>
      <c r="H4" s="2"/>
      <c r="I4" s="2"/>
    </row>
    <row r="5" spans="1:9" x14ac:dyDescent="0.25">
      <c r="A5" t="s">
        <v>44</v>
      </c>
      <c r="B5" s="2">
        <v>15000</v>
      </c>
      <c r="D5" s="2"/>
      <c r="E5" s="2">
        <f t="shared" ref="E5:E11" si="0">B5</f>
        <v>15000</v>
      </c>
      <c r="F5" s="2"/>
      <c r="G5" s="2"/>
      <c r="H5" s="2"/>
      <c r="I5" s="2"/>
    </row>
    <row r="6" spans="1:9" x14ac:dyDescent="0.25">
      <c r="A6" t="s">
        <v>45</v>
      </c>
      <c r="B6" s="2">
        <v>32000</v>
      </c>
      <c r="D6" s="2"/>
      <c r="E6" s="2">
        <f t="shared" si="0"/>
        <v>32000</v>
      </c>
      <c r="F6" s="2"/>
      <c r="G6" s="2"/>
      <c r="H6" s="2"/>
      <c r="I6" s="2"/>
    </row>
    <row r="7" spans="1:9" x14ac:dyDescent="0.25">
      <c r="A7" s="2" t="s">
        <v>46</v>
      </c>
      <c r="B7" s="2">
        <v>2000</v>
      </c>
      <c r="D7" s="2"/>
      <c r="E7" s="2">
        <f t="shared" si="0"/>
        <v>2000</v>
      </c>
      <c r="F7" s="2"/>
      <c r="G7" s="2"/>
      <c r="H7" s="2"/>
      <c r="I7" s="2"/>
    </row>
    <row r="8" spans="1:9" x14ac:dyDescent="0.25">
      <c r="A8" t="s">
        <v>47</v>
      </c>
      <c r="B8" s="2">
        <v>15000</v>
      </c>
      <c r="D8" s="2"/>
      <c r="E8" s="2">
        <f t="shared" si="0"/>
        <v>15000</v>
      </c>
      <c r="F8" s="2"/>
      <c r="G8" s="2"/>
      <c r="H8" s="2"/>
      <c r="I8" s="2"/>
    </row>
    <row r="9" spans="1:9" x14ac:dyDescent="0.25">
      <c r="A9" t="s">
        <v>48</v>
      </c>
      <c r="B9" s="2">
        <v>30000</v>
      </c>
      <c r="D9" s="2"/>
      <c r="E9" s="2">
        <f t="shared" si="0"/>
        <v>30000</v>
      </c>
      <c r="F9" s="2"/>
      <c r="G9" s="2"/>
      <c r="H9" s="2"/>
      <c r="I9" s="2"/>
    </row>
    <row r="10" spans="1:9" x14ac:dyDescent="0.25">
      <c r="A10" t="s">
        <v>49</v>
      </c>
      <c r="B10" s="2">
        <v>10000</v>
      </c>
      <c r="D10" s="2"/>
      <c r="E10" s="2">
        <f t="shared" si="0"/>
        <v>10000</v>
      </c>
      <c r="F10" s="2"/>
      <c r="G10" s="2"/>
      <c r="H10" s="2"/>
      <c r="I10" s="2"/>
    </row>
    <row r="11" spans="1:9" x14ac:dyDescent="0.25">
      <c r="A11" t="s">
        <v>50</v>
      </c>
      <c r="B11" s="2">
        <v>20000</v>
      </c>
      <c r="D11" s="2"/>
      <c r="E11" s="2">
        <f t="shared" si="0"/>
        <v>20000</v>
      </c>
      <c r="F11" s="2"/>
      <c r="G11" s="2"/>
      <c r="H11" s="2"/>
      <c r="I11" s="2"/>
    </row>
    <row r="12" spans="1:9" x14ac:dyDescent="0.25">
      <c r="A12" s="42" t="s">
        <v>51</v>
      </c>
      <c r="B12" s="4">
        <f>Werterhalt!I34</f>
        <v>106000</v>
      </c>
      <c r="C12" s="42"/>
      <c r="D12" s="2">
        <f>B12-B13</f>
        <v>56000</v>
      </c>
      <c r="E12" s="2"/>
      <c r="F12" s="2"/>
      <c r="G12" s="2"/>
      <c r="H12" s="2"/>
      <c r="I12" s="2"/>
    </row>
    <row r="13" spans="1:9" x14ac:dyDescent="0.25">
      <c r="A13" t="s">
        <v>52</v>
      </c>
      <c r="B13" s="2">
        <v>50000</v>
      </c>
      <c r="D13" s="11">
        <f>B13</f>
        <v>50000</v>
      </c>
      <c r="E13" s="2"/>
      <c r="F13" s="2"/>
      <c r="G13" s="2"/>
      <c r="H13" s="2"/>
      <c r="I13" s="2"/>
    </row>
    <row r="14" spans="1:9" x14ac:dyDescent="0.25">
      <c r="A14" s="1" t="s">
        <v>53</v>
      </c>
      <c r="B14" s="2">
        <v>10000</v>
      </c>
      <c r="D14" s="2">
        <f>B14</f>
        <v>10000</v>
      </c>
      <c r="E14" s="2"/>
      <c r="F14" s="2"/>
      <c r="G14" s="2"/>
      <c r="H14" s="2"/>
      <c r="I14" s="2"/>
    </row>
    <row r="15" spans="1:9" x14ac:dyDescent="0.25">
      <c r="A15" t="s">
        <v>54</v>
      </c>
      <c r="D15" s="2"/>
      <c r="E15" s="2"/>
      <c r="F15" s="2"/>
      <c r="G15" s="2"/>
      <c r="H15" s="2"/>
      <c r="I15" s="2"/>
    </row>
    <row r="16" spans="1:9" x14ac:dyDescent="0.25">
      <c r="B16" s="2"/>
      <c r="D16" s="2"/>
      <c r="E16" s="2"/>
      <c r="F16" s="2"/>
      <c r="G16" s="2"/>
      <c r="H16" s="2"/>
      <c r="I16" s="2"/>
    </row>
    <row r="17" spans="2:9" ht="15.75" thickBot="1" x14ac:dyDescent="0.3">
      <c r="C17" s="2"/>
      <c r="D17" s="21">
        <f>SUM(D5:D16)</f>
        <v>116000</v>
      </c>
      <c r="E17" s="21">
        <f>SUM(E5:E16)</f>
        <v>124000</v>
      </c>
      <c r="F17" s="2"/>
      <c r="G17" s="21">
        <f>E17+D17</f>
        <v>240000</v>
      </c>
      <c r="H17" s="2"/>
      <c r="I17" s="2"/>
    </row>
    <row r="18" spans="2:9" x14ac:dyDescent="0.25">
      <c r="B18" s="2"/>
      <c r="C18" s="2"/>
      <c r="F18" s="2"/>
      <c r="G18" s="2"/>
      <c r="H18" s="2"/>
      <c r="I18" s="2"/>
    </row>
    <row r="19" spans="2:9" x14ac:dyDescent="0.25">
      <c r="B19" s="2"/>
      <c r="C19" s="2"/>
      <c r="D19" s="2"/>
      <c r="E19" s="2"/>
      <c r="F19" s="2"/>
      <c r="G19" s="2"/>
      <c r="H19" s="2"/>
      <c r="I19" s="2"/>
    </row>
    <row r="20" spans="2:9" x14ac:dyDescent="0.25">
      <c r="B20" s="2"/>
      <c r="C20" s="2"/>
      <c r="D20" s="2"/>
      <c r="E20" s="2"/>
      <c r="F20" s="2"/>
      <c r="G20" s="2"/>
    </row>
  </sheetData>
  <mergeCells count="1">
    <mergeCell ref="D3:E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M51"/>
  <sheetViews>
    <sheetView zoomScaleNormal="100" zoomScalePageLayoutView="105" workbookViewId="0">
      <selection activeCell="B41" sqref="B41"/>
    </sheetView>
  </sheetViews>
  <sheetFormatPr baseColWidth="10" defaultRowHeight="15" x14ac:dyDescent="0.25"/>
  <cols>
    <col min="1" max="1" width="3.140625" customWidth="1"/>
    <col min="2" max="2" width="36.5703125" customWidth="1"/>
    <col min="3" max="3" width="7.7109375" style="2" customWidth="1"/>
    <col min="4" max="4" width="11.7109375" customWidth="1"/>
    <col min="5" max="5" width="16.7109375" customWidth="1"/>
    <col min="6" max="6" width="1.5703125" customWidth="1"/>
    <col min="7" max="7" width="11.85546875" style="2" customWidth="1"/>
    <col min="8" max="8" width="8.7109375" customWidth="1"/>
    <col min="9" max="9" width="16.7109375" customWidth="1"/>
    <col min="10" max="10" width="1.5703125" customWidth="1"/>
    <col min="13" max="13" width="16.7109375" customWidth="1"/>
  </cols>
  <sheetData>
    <row r="1" spans="2:13" x14ac:dyDescent="0.25">
      <c r="B1" s="13" t="s">
        <v>58</v>
      </c>
      <c r="E1" s="18"/>
    </row>
    <row r="2" spans="2:13" x14ac:dyDescent="0.25">
      <c r="C2" s="69" t="s">
        <v>90</v>
      </c>
      <c r="D2" s="59" t="s">
        <v>91</v>
      </c>
      <c r="E2" s="39"/>
      <c r="G2" s="69"/>
      <c r="H2" s="59"/>
    </row>
    <row r="3" spans="2:13" s="1" customFormat="1" ht="15" customHeight="1" x14ac:dyDescent="0.25">
      <c r="B3" s="141" t="s">
        <v>59</v>
      </c>
      <c r="C3" s="144"/>
      <c r="D3" s="144"/>
      <c r="E3" s="145"/>
    </row>
    <row r="4" spans="2:13" x14ac:dyDescent="0.25">
      <c r="B4" t="s">
        <v>60</v>
      </c>
      <c r="E4" s="2">
        <f>Werterhalt!G12</f>
        <v>7990594.9499999993</v>
      </c>
    </row>
    <row r="5" spans="2:13" x14ac:dyDescent="0.25">
      <c r="B5" t="s">
        <v>61</v>
      </c>
      <c r="E5" s="68">
        <v>1</v>
      </c>
    </row>
    <row r="6" spans="2:13" x14ac:dyDescent="0.25">
      <c r="B6" t="s">
        <v>62</v>
      </c>
      <c r="C6"/>
      <c r="E6" s="2">
        <f>E5*E4</f>
        <v>7990594.9499999993</v>
      </c>
      <c r="G6"/>
    </row>
    <row r="7" spans="2:13" x14ac:dyDescent="0.25">
      <c r="E7" s="73"/>
      <c r="H7" t="s">
        <v>142</v>
      </c>
    </row>
    <row r="8" spans="2:13" x14ac:dyDescent="0.25">
      <c r="B8" s="141" t="s">
        <v>63</v>
      </c>
      <c r="C8" s="142"/>
      <c r="D8" s="143"/>
      <c r="E8" s="68">
        <v>0.7</v>
      </c>
    </row>
    <row r="9" spans="2:13" x14ac:dyDescent="0.25">
      <c r="E9" s="23"/>
      <c r="G9"/>
    </row>
    <row r="10" spans="2:13" s="1" customFormat="1" ht="30" customHeight="1" x14ac:dyDescent="0.25">
      <c r="B10" s="141" t="s">
        <v>65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7"/>
    </row>
    <row r="11" spans="2:13" ht="17.25" x14ac:dyDescent="0.4">
      <c r="B11" s="63" t="s">
        <v>64</v>
      </c>
      <c r="C11" s="121" t="s">
        <v>66</v>
      </c>
      <c r="D11" s="122" t="s">
        <v>67</v>
      </c>
      <c r="E11" s="123" t="s">
        <v>68</v>
      </c>
      <c r="G11" s="121" t="s">
        <v>143</v>
      </c>
      <c r="H11" s="122" t="s">
        <v>71</v>
      </c>
      <c r="I11" s="123" t="s">
        <v>69</v>
      </c>
      <c r="K11" s="121" t="s">
        <v>70</v>
      </c>
      <c r="L11" s="122" t="s">
        <v>67</v>
      </c>
      <c r="M11" s="123" t="s">
        <v>72</v>
      </c>
    </row>
    <row r="12" spans="2:13" x14ac:dyDescent="0.25">
      <c r="B12" t="s">
        <v>8</v>
      </c>
      <c r="C12" s="124">
        <v>0.5</v>
      </c>
      <c r="D12" s="4">
        <v>1000</v>
      </c>
      <c r="E12" s="125">
        <f>D12*C12</f>
        <v>500</v>
      </c>
      <c r="G12" s="126">
        <v>500</v>
      </c>
      <c r="H12" s="4">
        <f>D12</f>
        <v>1000</v>
      </c>
      <c r="I12" s="131">
        <f>G12/H12</f>
        <v>0.5</v>
      </c>
      <c r="K12" s="124">
        <v>0.25</v>
      </c>
      <c r="L12" s="4">
        <f>H12</f>
        <v>1000</v>
      </c>
      <c r="M12" s="92">
        <f>K12*L12</f>
        <v>250</v>
      </c>
    </row>
    <row r="13" spans="2:13" x14ac:dyDescent="0.25">
      <c r="B13" t="s">
        <v>9</v>
      </c>
      <c r="C13" s="124">
        <v>0.6</v>
      </c>
      <c r="D13" s="4">
        <v>450</v>
      </c>
      <c r="E13" s="125">
        <f>D13*C13</f>
        <v>270</v>
      </c>
      <c r="G13" s="126">
        <v>280</v>
      </c>
      <c r="H13" s="4">
        <f t="shared" ref="H13:H16" si="0">D13</f>
        <v>450</v>
      </c>
      <c r="I13" s="131">
        <f t="shared" ref="I13:I16" si="1">G13/H13</f>
        <v>0.62222222222222223</v>
      </c>
      <c r="K13" s="124">
        <v>0.15</v>
      </c>
      <c r="L13" s="4">
        <f t="shared" ref="L13:L16" si="2">H13</f>
        <v>450</v>
      </c>
      <c r="M13" s="92">
        <f t="shared" ref="M13:M16" si="3">K13*L13</f>
        <v>67.5</v>
      </c>
    </row>
    <row r="14" spans="2:13" x14ac:dyDescent="0.25">
      <c r="B14" t="s">
        <v>10</v>
      </c>
      <c r="C14" s="124">
        <v>0.85</v>
      </c>
      <c r="D14" s="4">
        <v>780</v>
      </c>
      <c r="E14" s="125">
        <f>D14*C14</f>
        <v>663</v>
      </c>
      <c r="G14" s="126">
        <v>450</v>
      </c>
      <c r="H14" s="4">
        <f t="shared" si="0"/>
        <v>780</v>
      </c>
      <c r="I14" s="131">
        <f t="shared" si="1"/>
        <v>0.57692307692307687</v>
      </c>
      <c r="K14" s="124">
        <v>0.2</v>
      </c>
      <c r="L14" s="4">
        <f t="shared" si="2"/>
        <v>780</v>
      </c>
      <c r="M14" s="92">
        <f t="shared" si="3"/>
        <v>156</v>
      </c>
    </row>
    <row r="15" spans="2:13" x14ac:dyDescent="0.25">
      <c r="B15" t="s">
        <v>11</v>
      </c>
      <c r="C15" s="124">
        <v>0.95</v>
      </c>
      <c r="D15" s="4">
        <v>2200</v>
      </c>
      <c r="E15" s="125">
        <f>D15*C15</f>
        <v>2090</v>
      </c>
      <c r="G15" s="126">
        <v>1540</v>
      </c>
      <c r="H15" s="4">
        <f t="shared" si="0"/>
        <v>2200</v>
      </c>
      <c r="I15" s="131">
        <f t="shared" si="1"/>
        <v>0.7</v>
      </c>
      <c r="K15" s="124">
        <v>0.05</v>
      </c>
      <c r="L15" s="4">
        <f t="shared" si="2"/>
        <v>2200</v>
      </c>
      <c r="M15" s="92">
        <f t="shared" si="3"/>
        <v>110</v>
      </c>
    </row>
    <row r="16" spans="2:13" x14ac:dyDescent="0.25">
      <c r="B16" t="s">
        <v>12</v>
      </c>
      <c r="C16" s="124">
        <v>0.753</v>
      </c>
      <c r="D16" s="4">
        <v>1500</v>
      </c>
      <c r="E16" s="125">
        <f>D16*C16</f>
        <v>1129.5</v>
      </c>
      <c r="G16" s="126">
        <v>1000</v>
      </c>
      <c r="H16" s="4">
        <f t="shared" si="0"/>
        <v>1500</v>
      </c>
      <c r="I16" s="131">
        <f t="shared" si="1"/>
        <v>0.66666666666666663</v>
      </c>
      <c r="K16" s="124">
        <v>0.17</v>
      </c>
      <c r="L16" s="4">
        <f t="shared" si="2"/>
        <v>1500</v>
      </c>
      <c r="M16" s="92">
        <f t="shared" si="3"/>
        <v>255.00000000000003</v>
      </c>
    </row>
    <row r="17" spans="1:13" x14ac:dyDescent="0.25">
      <c r="B17" t="s">
        <v>14</v>
      </c>
      <c r="C17" s="126"/>
      <c r="D17" s="42"/>
      <c r="E17" s="103">
        <v>300000</v>
      </c>
      <c r="F17" s="2">
        <v>99747.438969826282</v>
      </c>
      <c r="G17" s="126">
        <v>268387.67420761718</v>
      </c>
      <c r="H17" s="42"/>
      <c r="I17" s="103"/>
      <c r="J17" s="2"/>
      <c r="K17" s="126"/>
      <c r="L17" s="42"/>
      <c r="M17" s="103">
        <v>79280.362951675415</v>
      </c>
    </row>
    <row r="18" spans="1:13" x14ac:dyDescent="0.25">
      <c r="C18" s="20"/>
      <c r="D18" s="127" t="s">
        <v>13</v>
      </c>
      <c r="E18" s="128">
        <f>SUM(E12:E17)</f>
        <v>304652.5</v>
      </c>
      <c r="F18" s="42">
        <f t="shared" ref="F18" si="4">SUM(F12:F17)</f>
        <v>99747.438969826282</v>
      </c>
      <c r="G18" s="130">
        <f>SUM(G12:G17)</f>
        <v>272157.67420761718</v>
      </c>
      <c r="H18" s="127"/>
      <c r="I18" s="115"/>
      <c r="J18" s="42"/>
      <c r="K18" s="129"/>
      <c r="L18" s="127" t="s">
        <v>13</v>
      </c>
      <c r="M18" s="128">
        <f t="shared" ref="M18" si="5">SUM(M12:M17)</f>
        <v>80118.862951675415</v>
      </c>
    </row>
    <row r="19" spans="1:13" x14ac:dyDescent="0.25">
      <c r="I19" s="42"/>
    </row>
    <row r="20" spans="1:13" x14ac:dyDescent="0.25">
      <c r="B20" s="141" t="s">
        <v>73</v>
      </c>
      <c r="C20" s="142"/>
      <c r="D20" s="143"/>
      <c r="G20" s="42"/>
      <c r="H20" s="4"/>
      <c r="I20" s="42"/>
    </row>
    <row r="21" spans="1:13" x14ac:dyDescent="0.25">
      <c r="B21" t="s">
        <v>74</v>
      </c>
      <c r="E21" s="2">
        <f>E6</f>
        <v>7990594.9499999993</v>
      </c>
      <c r="I21" s="86">
        <f>E6</f>
        <v>7990594.9499999993</v>
      </c>
      <c r="M21" s="11">
        <f>E6</f>
        <v>7990594.9499999993</v>
      </c>
    </row>
    <row r="22" spans="1:13" x14ac:dyDescent="0.25">
      <c r="B22" t="s">
        <v>75</v>
      </c>
      <c r="E22" s="2">
        <f>E18</f>
        <v>304652.5</v>
      </c>
      <c r="I22" s="42"/>
      <c r="M22" s="11">
        <f>M18</f>
        <v>80118.862951675415</v>
      </c>
    </row>
    <row r="23" spans="1:13" x14ac:dyDescent="0.25">
      <c r="B23" t="s">
        <v>76</v>
      </c>
      <c r="E23" s="2"/>
      <c r="I23" s="86">
        <f>G18</f>
        <v>272157.67420761718</v>
      </c>
    </row>
    <row r="24" spans="1:13" x14ac:dyDescent="0.25">
      <c r="B24" t="s">
        <v>78</v>
      </c>
      <c r="E24" s="2">
        <f>E21/E22</f>
        <v>26.22855532122664</v>
      </c>
      <c r="F24" s="2"/>
      <c r="H24" s="2"/>
      <c r="I24" s="2"/>
      <c r="J24" s="2"/>
      <c r="K24" s="2"/>
      <c r="L24" s="2"/>
      <c r="M24" s="2">
        <f t="shared" ref="M24" si="6">M21/M22</f>
        <v>99.73425302877321</v>
      </c>
    </row>
    <row r="25" spans="1:13" x14ac:dyDescent="0.25">
      <c r="A25" s="42"/>
      <c r="B25" t="s">
        <v>77</v>
      </c>
      <c r="I25" s="2">
        <f>I21/I23</f>
        <v>29.360167679505977</v>
      </c>
    </row>
    <row r="26" spans="1:13" x14ac:dyDescent="0.25">
      <c r="A26" s="88"/>
      <c r="I26" s="42"/>
    </row>
    <row r="27" spans="1:13" ht="15" customHeight="1" x14ac:dyDescent="0.25">
      <c r="A27" s="148" t="s">
        <v>79</v>
      </c>
      <c r="B27" s="89" t="s">
        <v>80</v>
      </c>
      <c r="C27" s="38"/>
      <c r="D27" s="89"/>
      <c r="E27" s="38">
        <v>845</v>
      </c>
      <c r="F27" s="89"/>
      <c r="G27" s="38"/>
      <c r="H27" s="89"/>
      <c r="I27" s="89">
        <v>845</v>
      </c>
      <c r="J27" s="89"/>
      <c r="K27" s="89"/>
      <c r="L27" s="89"/>
      <c r="M27" s="90">
        <v>845</v>
      </c>
    </row>
    <row r="28" spans="1:13" x14ac:dyDescent="0.25">
      <c r="A28" s="149"/>
      <c r="B28" s="42" t="s">
        <v>81</v>
      </c>
      <c r="C28" s="4"/>
      <c r="D28" s="42"/>
      <c r="E28" s="91">
        <v>0.75</v>
      </c>
      <c r="F28" s="42"/>
      <c r="G28" s="4"/>
      <c r="H28" s="42"/>
      <c r="I28" s="42"/>
      <c r="J28" s="42"/>
      <c r="K28" s="42"/>
      <c r="L28" s="42"/>
      <c r="M28" s="92"/>
    </row>
    <row r="29" spans="1:13" x14ac:dyDescent="0.25">
      <c r="A29" s="149"/>
      <c r="B29" s="42" t="s">
        <v>82</v>
      </c>
      <c r="C29" s="4"/>
      <c r="D29" s="42"/>
      <c r="E29" s="42"/>
      <c r="F29" s="42"/>
      <c r="G29" s="4"/>
      <c r="H29" s="42"/>
      <c r="I29" s="91">
        <v>0.67</v>
      </c>
      <c r="J29" s="42"/>
      <c r="K29" s="42"/>
      <c r="L29" s="42"/>
      <c r="M29" s="92"/>
    </row>
    <row r="30" spans="1:13" x14ac:dyDescent="0.25">
      <c r="A30" s="149"/>
      <c r="B30" s="42" t="s">
        <v>83</v>
      </c>
      <c r="C30" s="4"/>
      <c r="D30" s="42"/>
      <c r="E30" s="42"/>
      <c r="F30" s="42"/>
      <c r="G30" s="4"/>
      <c r="H30" s="42"/>
      <c r="I30" s="42"/>
      <c r="J30" s="42"/>
      <c r="K30" s="42"/>
      <c r="L30" s="42"/>
      <c r="M30" s="92"/>
    </row>
    <row r="31" spans="1:13" x14ac:dyDescent="0.25">
      <c r="A31" s="149"/>
      <c r="B31" s="42" t="s">
        <v>84</v>
      </c>
      <c r="C31" s="4"/>
      <c r="D31" s="42"/>
      <c r="E31" s="4">
        <f>E28*E27</f>
        <v>633.75</v>
      </c>
      <c r="F31" s="42"/>
      <c r="G31" s="4"/>
      <c r="H31" s="42"/>
      <c r="I31" s="42"/>
      <c r="J31" s="42"/>
      <c r="K31" s="42"/>
      <c r="L31" s="42"/>
      <c r="M31" s="92">
        <v>0.2</v>
      </c>
    </row>
    <row r="32" spans="1:13" x14ac:dyDescent="0.25">
      <c r="A32" s="149"/>
      <c r="B32" s="42" t="s">
        <v>85</v>
      </c>
      <c r="C32" s="4"/>
      <c r="D32" s="42"/>
      <c r="E32" s="42"/>
      <c r="F32" s="42"/>
      <c r="G32" s="4"/>
      <c r="H32" s="42"/>
      <c r="I32" s="4">
        <f>E27*I29</f>
        <v>566.15</v>
      </c>
      <c r="J32" s="42"/>
      <c r="K32" s="42"/>
      <c r="L32" s="42"/>
      <c r="M32" s="92">
        <f>M27*M31</f>
        <v>169</v>
      </c>
    </row>
    <row r="33" spans="1:13" x14ac:dyDescent="0.25">
      <c r="A33" s="149"/>
      <c r="B33" s="42" t="s">
        <v>86</v>
      </c>
      <c r="C33" s="4"/>
      <c r="D33" s="42"/>
      <c r="E33" s="70" t="s">
        <v>91</v>
      </c>
      <c r="F33" s="42"/>
      <c r="G33" s="4"/>
      <c r="H33" s="42"/>
      <c r="I33" s="70" t="s">
        <v>91</v>
      </c>
      <c r="J33" s="42"/>
      <c r="K33" s="42"/>
      <c r="L33" s="42"/>
      <c r="M33" s="93" t="s">
        <v>91</v>
      </c>
    </row>
    <row r="34" spans="1:13" x14ac:dyDescent="0.25">
      <c r="A34" s="149"/>
      <c r="B34" s="42" t="s">
        <v>87</v>
      </c>
      <c r="C34" s="4"/>
      <c r="D34" s="42"/>
      <c r="E34" s="70" t="s">
        <v>90</v>
      </c>
      <c r="F34" s="42"/>
      <c r="G34" s="42"/>
      <c r="H34" s="42"/>
      <c r="I34" s="70" t="s">
        <v>90</v>
      </c>
      <c r="J34" s="42"/>
      <c r="K34" s="42"/>
      <c r="L34" s="42"/>
      <c r="M34" s="93" t="s">
        <v>90</v>
      </c>
    </row>
    <row r="35" spans="1:13" ht="15.75" thickBot="1" x14ac:dyDescent="0.3">
      <c r="A35" s="149"/>
      <c r="B35" s="42" t="s">
        <v>88</v>
      </c>
      <c r="C35" s="4"/>
      <c r="D35" s="42"/>
      <c r="E35" s="94" t="str">
        <f>IF(E33={"nein"},IF(E34={"nein"},{"anzuwenden"},{"nicht anwendbar"}),{"nicht anwendbar"})</f>
        <v>nicht anwendbar</v>
      </c>
      <c r="F35" s="42"/>
      <c r="G35" s="42"/>
      <c r="H35" s="42"/>
      <c r="I35" s="94" t="str">
        <f>IF(I33={"nein"},IF(I34={"nein"},{"anzuwenden"},{"nicht anwendbar"}),{"nicht anwendbar"})</f>
        <v>nicht anwendbar</v>
      </c>
      <c r="J35" s="42"/>
      <c r="K35" s="42"/>
      <c r="L35" s="42"/>
      <c r="M35" s="95" t="str">
        <f>IF(M33={"nein"},IF(M34={"nein"},{"anzuwenden"},{"nicht anwendbar"}),{"nicht anwendbar"})</f>
        <v>nicht anwendbar</v>
      </c>
    </row>
    <row r="36" spans="1:13" ht="20.25" thickBot="1" x14ac:dyDescent="0.35">
      <c r="A36" s="150"/>
      <c r="B36" s="132" t="s">
        <v>89</v>
      </c>
      <c r="C36" s="133"/>
      <c r="D36" s="134"/>
      <c r="E36" s="135">
        <f>IF(E35="anzuwenden",0,E24*E31)</f>
        <v>16622.346934827383</v>
      </c>
      <c r="F36" s="134"/>
      <c r="G36" s="134"/>
      <c r="H36" s="134"/>
      <c r="I36" s="135">
        <f>IF(I35="anzuwenden",0,I25*I32)</f>
        <v>16622.258931752309</v>
      </c>
      <c r="J36" s="134"/>
      <c r="K36" s="134"/>
      <c r="L36" s="134"/>
      <c r="M36" s="135">
        <f>IF(M35="anzuwenden",0,M24*M32)</f>
        <v>16855.088761862673</v>
      </c>
    </row>
    <row r="37" spans="1:13" ht="20.25" thickBot="1" x14ac:dyDescent="0.35">
      <c r="A37" s="151"/>
      <c r="B37" s="137" t="s">
        <v>144</v>
      </c>
      <c r="C37" s="136"/>
      <c r="D37" s="136"/>
      <c r="E37" s="138">
        <f>IF(E35="nicht anwendbar",0,E24*E31*E8)</f>
        <v>0</v>
      </c>
      <c r="F37" s="136"/>
      <c r="G37" s="136"/>
      <c r="H37" s="136"/>
      <c r="I37" s="138">
        <f>IF(I35="nicht anwendbar",0,I25*I32*E8)</f>
        <v>0</v>
      </c>
      <c r="J37" s="136"/>
      <c r="K37" s="136"/>
      <c r="L37" s="136"/>
      <c r="M37" s="138">
        <f>IF(M35="nicht anwendbar",0,M24*M32*E8)</f>
        <v>0</v>
      </c>
    </row>
    <row r="38" spans="1:13" x14ac:dyDescent="0.25">
      <c r="E38" s="39"/>
      <c r="I38" s="42"/>
    </row>
    <row r="39" spans="1:13" x14ac:dyDescent="0.25">
      <c r="A39" s="39"/>
      <c r="B39" s="39"/>
      <c r="C39" s="62"/>
      <c r="D39" s="39"/>
      <c r="E39" s="39"/>
      <c r="F39" s="39"/>
      <c r="G39" s="62"/>
      <c r="H39" s="39"/>
      <c r="I39" s="42"/>
      <c r="J39" s="39"/>
    </row>
    <row r="40" spans="1:13" x14ac:dyDescent="0.25">
      <c r="A40" s="39"/>
      <c r="B40" s="39"/>
      <c r="C40" s="62"/>
      <c r="D40" s="39"/>
      <c r="E40" s="71"/>
      <c r="F40" s="39"/>
      <c r="G40" s="62"/>
      <c r="H40" s="39"/>
      <c r="I40" s="42"/>
      <c r="J40" s="39"/>
    </row>
    <row r="41" spans="1:13" x14ac:dyDescent="0.25">
      <c r="A41" s="39"/>
      <c r="B41" s="39"/>
      <c r="C41" s="54"/>
      <c r="D41" s="54"/>
      <c r="E41" s="71"/>
      <c r="F41" s="54"/>
      <c r="G41" s="54"/>
      <c r="H41" s="54"/>
      <c r="I41" s="42"/>
      <c r="J41" s="54"/>
    </row>
    <row r="42" spans="1:13" x14ac:dyDescent="0.25">
      <c r="A42" s="39"/>
      <c r="B42" s="39"/>
      <c r="C42" s="54"/>
      <c r="D42" s="54"/>
      <c r="E42" s="71"/>
      <c r="F42" s="54"/>
      <c r="G42" s="54"/>
      <c r="H42" s="54"/>
      <c r="J42" s="54"/>
    </row>
    <row r="43" spans="1:13" x14ac:dyDescent="0.25">
      <c r="A43" s="39"/>
      <c r="B43" s="39"/>
      <c r="C43" s="54"/>
      <c r="D43" s="54"/>
      <c r="E43" s="71"/>
      <c r="F43" s="54"/>
      <c r="G43" s="54"/>
      <c r="H43" s="54"/>
      <c r="J43" s="54"/>
    </row>
    <row r="44" spans="1:13" x14ac:dyDescent="0.25">
      <c r="A44" s="39"/>
      <c r="B44" s="39"/>
      <c r="C44" s="54"/>
      <c r="D44" s="54"/>
      <c r="E44" s="71"/>
      <c r="F44" s="54"/>
      <c r="G44" s="54"/>
      <c r="H44" s="54"/>
      <c r="J44" s="54"/>
    </row>
    <row r="45" spans="1:13" x14ac:dyDescent="0.25">
      <c r="A45" s="39"/>
      <c r="B45" s="39"/>
      <c r="C45" s="54"/>
      <c r="D45" s="54"/>
      <c r="E45" s="71"/>
      <c r="F45" s="54"/>
      <c r="G45" s="54"/>
      <c r="H45" s="54"/>
      <c r="J45" s="54"/>
    </row>
    <row r="46" spans="1:13" x14ac:dyDescent="0.25">
      <c r="A46" s="39"/>
      <c r="B46" s="39"/>
      <c r="C46" s="54"/>
      <c r="D46" s="54"/>
      <c r="E46" s="54"/>
      <c r="F46" s="54"/>
      <c r="G46" s="54"/>
      <c r="H46" s="54"/>
      <c r="J46" s="54"/>
    </row>
    <row r="47" spans="1:13" x14ac:dyDescent="0.25">
      <c r="A47" s="39"/>
      <c r="B47" s="39"/>
      <c r="C47" s="54"/>
      <c r="D47" s="54"/>
      <c r="E47" s="54"/>
      <c r="F47" s="54"/>
      <c r="G47" s="54"/>
      <c r="H47" s="54"/>
      <c r="J47" s="54"/>
    </row>
    <row r="48" spans="1:13" x14ac:dyDescent="0.25">
      <c r="A48" s="54"/>
      <c r="B48" s="54"/>
      <c r="C48" s="54"/>
      <c r="D48" s="54"/>
      <c r="E48" s="39"/>
      <c r="F48" s="54"/>
      <c r="G48" s="54"/>
      <c r="H48" s="54"/>
      <c r="J48" s="54"/>
    </row>
    <row r="49" spans="1:10" x14ac:dyDescent="0.25">
      <c r="A49" s="39"/>
      <c r="B49" s="39"/>
      <c r="C49" s="62"/>
      <c r="D49" s="39"/>
      <c r="E49" s="39"/>
      <c r="F49" s="39"/>
      <c r="G49" s="62"/>
      <c r="H49" s="39"/>
      <c r="J49" s="39"/>
    </row>
    <row r="50" spans="1:10" x14ac:dyDescent="0.25">
      <c r="A50" s="39"/>
      <c r="B50" s="39"/>
      <c r="C50" s="62"/>
      <c r="D50" s="39"/>
      <c r="E50" s="39"/>
      <c r="F50" s="39"/>
      <c r="G50" s="62"/>
      <c r="H50" s="39"/>
      <c r="J50" s="39"/>
    </row>
    <row r="51" spans="1:10" x14ac:dyDescent="0.25">
      <c r="A51" s="39"/>
      <c r="B51" s="39"/>
      <c r="C51" s="62"/>
      <c r="D51" s="39"/>
      <c r="F51" s="39"/>
      <c r="G51" s="62"/>
      <c r="H51" s="39"/>
      <c r="J51" s="39"/>
    </row>
  </sheetData>
  <mergeCells count="5">
    <mergeCell ref="B8:D8"/>
    <mergeCell ref="B20:D20"/>
    <mergeCell ref="B3:E3"/>
    <mergeCell ref="B10:M10"/>
    <mergeCell ref="A27:A37"/>
  </mergeCells>
  <dataValidations count="1">
    <dataValidation type="list" allowBlank="1" showInputMessage="1" showErrorMessage="1" sqref="E33:E34 I33:I34 M33:M34">
      <formula1>$C$2:$D$2</formula1>
    </dataValidation>
  </dataValidations>
  <pageMargins left="0.7" right="0.7" top="0.75" bottom="0.75" header="0.3" footer="0.3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6"/>
  <sheetViews>
    <sheetView zoomScaleNormal="100" zoomScalePageLayoutView="105" workbookViewId="0">
      <selection activeCell="H22" sqref="H22"/>
    </sheetView>
  </sheetViews>
  <sheetFormatPr baseColWidth="10" defaultRowHeight="15" x14ac:dyDescent="0.25"/>
  <cols>
    <col min="1" max="1" width="15.7109375" customWidth="1"/>
    <col min="2" max="2" width="27.42578125" customWidth="1"/>
    <col min="3" max="3" width="7.7109375" style="2" customWidth="1"/>
    <col min="4" max="4" width="11.7109375" customWidth="1"/>
    <col min="5" max="5" width="16.7109375" customWidth="1"/>
    <col min="6" max="6" width="1.5703125" customWidth="1"/>
    <col min="7" max="7" width="11.85546875" style="2" customWidth="1"/>
    <col min="8" max="8" width="8.7109375" customWidth="1"/>
    <col min="9" max="9" width="16.7109375" customWidth="1"/>
    <col min="10" max="10" width="1.5703125" customWidth="1"/>
    <col min="13" max="13" width="16.7109375" customWidth="1"/>
    <col min="14" max="14" width="11.42578125" customWidth="1"/>
    <col min="15" max="15" width="34.85546875" customWidth="1"/>
  </cols>
  <sheetData>
    <row r="1" spans="1:13" x14ac:dyDescent="0.25">
      <c r="A1" s="13" t="s">
        <v>92</v>
      </c>
      <c r="E1" s="18"/>
    </row>
    <row r="2" spans="1:13" x14ac:dyDescent="0.25">
      <c r="A2" s="46" t="s">
        <v>93</v>
      </c>
      <c r="C2" s="1"/>
      <c r="D2" s="1"/>
      <c r="G2" s="69"/>
      <c r="H2" s="59"/>
    </row>
    <row r="3" spans="1:13" s="16" customFormat="1" x14ac:dyDescent="0.25">
      <c r="A3" s="13" t="s">
        <v>94</v>
      </c>
      <c r="G3" s="116"/>
    </row>
    <row r="4" spans="1:13" ht="17.25" x14ac:dyDescent="0.4">
      <c r="B4" s="63" t="s">
        <v>64</v>
      </c>
      <c r="C4" s="64" t="s">
        <v>66</v>
      </c>
      <c r="D4" s="65" t="s">
        <v>67</v>
      </c>
      <c r="E4" s="87" t="s">
        <v>68</v>
      </c>
      <c r="G4" s="64" t="s">
        <v>69</v>
      </c>
      <c r="H4" s="65" t="s">
        <v>71</v>
      </c>
      <c r="I4" s="87" t="s">
        <v>69</v>
      </c>
      <c r="K4" s="64" t="s">
        <v>70</v>
      </c>
      <c r="L4" s="65" t="s">
        <v>67</v>
      </c>
      <c r="M4" s="87" t="s">
        <v>72</v>
      </c>
    </row>
    <row r="5" spans="1:13" x14ac:dyDescent="0.25">
      <c r="B5" t="s">
        <v>8</v>
      </c>
      <c r="C5" s="61">
        <f>Anschlussgebühr!C12</f>
        <v>0.5</v>
      </c>
      <c r="D5" s="2">
        <f>Anschlussgebühr!D12</f>
        <v>1000</v>
      </c>
      <c r="E5" s="67">
        <f>D5*C5</f>
        <v>500</v>
      </c>
      <c r="G5" s="2">
        <f>Anschlussgebühr!G12</f>
        <v>500</v>
      </c>
      <c r="H5" s="2">
        <f>Anschlussgebühr!H12</f>
        <v>1000</v>
      </c>
      <c r="I5" s="61">
        <f>G5/H5</f>
        <v>0.5</v>
      </c>
      <c r="K5" s="61">
        <f>Anschlussgebühr!K12</f>
        <v>0.25</v>
      </c>
      <c r="L5" s="2">
        <f>Anschlussgebühr!L12</f>
        <v>1000</v>
      </c>
      <c r="M5">
        <f>K5*L5</f>
        <v>250</v>
      </c>
    </row>
    <row r="6" spans="1:13" x14ac:dyDescent="0.25">
      <c r="B6" t="s">
        <v>9</v>
      </c>
      <c r="C6" s="61">
        <f>Anschlussgebühr!C13</f>
        <v>0.6</v>
      </c>
      <c r="D6" s="2">
        <f>Anschlussgebühr!D13</f>
        <v>450</v>
      </c>
      <c r="E6" s="67">
        <f>D6*C6</f>
        <v>270</v>
      </c>
      <c r="G6" s="2">
        <f>Anschlussgebühr!G13</f>
        <v>280</v>
      </c>
      <c r="H6" s="2">
        <f>Anschlussgebühr!H13</f>
        <v>450</v>
      </c>
      <c r="I6" s="61">
        <f t="shared" ref="I6:I9" si="0">G6/H6</f>
        <v>0.62222222222222223</v>
      </c>
      <c r="K6" s="61">
        <f>Anschlussgebühr!K13</f>
        <v>0.15</v>
      </c>
      <c r="L6" s="2">
        <f>Anschlussgebühr!L13</f>
        <v>450</v>
      </c>
      <c r="M6">
        <f t="shared" ref="M6:M9" si="1">K6*L6</f>
        <v>67.5</v>
      </c>
    </row>
    <row r="7" spans="1:13" x14ac:dyDescent="0.25">
      <c r="B7" t="s">
        <v>10</v>
      </c>
      <c r="C7" s="61">
        <f>Anschlussgebühr!C14</f>
        <v>0.85</v>
      </c>
      <c r="D7" s="2">
        <f>Anschlussgebühr!D14</f>
        <v>780</v>
      </c>
      <c r="E7" s="67">
        <f>D7*C7</f>
        <v>663</v>
      </c>
      <c r="G7" s="2">
        <f>Anschlussgebühr!G14</f>
        <v>450</v>
      </c>
      <c r="H7" s="2">
        <f>Anschlussgebühr!H14</f>
        <v>780</v>
      </c>
      <c r="I7" s="61">
        <f t="shared" si="0"/>
        <v>0.57692307692307687</v>
      </c>
      <c r="K7" s="61">
        <f>Anschlussgebühr!K14</f>
        <v>0.2</v>
      </c>
      <c r="L7" s="2">
        <f>Anschlussgebühr!L14</f>
        <v>780</v>
      </c>
      <c r="M7">
        <f t="shared" si="1"/>
        <v>156</v>
      </c>
    </row>
    <row r="8" spans="1:13" x14ac:dyDescent="0.25">
      <c r="B8" t="s">
        <v>11</v>
      </c>
      <c r="C8" s="61">
        <f>Anschlussgebühr!C15</f>
        <v>0.95</v>
      </c>
      <c r="D8" s="2">
        <f>Anschlussgebühr!D15</f>
        <v>2200</v>
      </c>
      <c r="E8" s="67">
        <f>D8*C8</f>
        <v>2090</v>
      </c>
      <c r="G8" s="2">
        <f>Anschlussgebühr!G15</f>
        <v>1540</v>
      </c>
      <c r="H8" s="2">
        <f>Anschlussgebühr!H15</f>
        <v>2200</v>
      </c>
      <c r="I8" s="61">
        <f t="shared" si="0"/>
        <v>0.7</v>
      </c>
      <c r="K8" s="61">
        <f>Anschlussgebühr!K15</f>
        <v>0.05</v>
      </c>
      <c r="L8" s="2">
        <f>Anschlussgebühr!L15</f>
        <v>2200</v>
      </c>
      <c r="M8">
        <f t="shared" si="1"/>
        <v>110</v>
      </c>
    </row>
    <row r="9" spans="1:13" x14ac:dyDescent="0.25">
      <c r="B9" t="s">
        <v>12</v>
      </c>
      <c r="C9" s="61">
        <f>Anschlussgebühr!C16</f>
        <v>0.753</v>
      </c>
      <c r="D9" s="2">
        <f>Anschlussgebühr!D16</f>
        <v>1500</v>
      </c>
      <c r="E9" s="67">
        <f>D9*C9</f>
        <v>1129.5</v>
      </c>
      <c r="G9" s="2">
        <f>Anschlussgebühr!G16</f>
        <v>1000</v>
      </c>
      <c r="H9" s="2">
        <f>Anschlussgebühr!H16</f>
        <v>1500</v>
      </c>
      <c r="I9" s="61">
        <f t="shared" si="0"/>
        <v>0.66666666666666663</v>
      </c>
      <c r="K9" s="61">
        <f>Anschlussgebühr!K16</f>
        <v>0.17</v>
      </c>
      <c r="L9" s="2">
        <f>Anschlussgebühr!L16</f>
        <v>1500</v>
      </c>
      <c r="M9">
        <f t="shared" si="1"/>
        <v>255.00000000000003</v>
      </c>
    </row>
    <row r="10" spans="1:13" x14ac:dyDescent="0.25">
      <c r="B10" t="s">
        <v>14</v>
      </c>
      <c r="E10" s="2">
        <f>Anschlussgebühr!E17</f>
        <v>300000</v>
      </c>
      <c r="F10" s="2">
        <v>99747.438969826282</v>
      </c>
      <c r="G10" s="2">
        <f>Anschlussgebühr!G17</f>
        <v>268387.67420761718</v>
      </c>
      <c r="I10" s="2">
        <f>Anschlussgebühr!I17</f>
        <v>0</v>
      </c>
      <c r="J10" s="2"/>
      <c r="K10" s="2"/>
      <c r="M10" s="2">
        <f>Anschlussgebühr!M17</f>
        <v>79280.362951675415</v>
      </c>
    </row>
    <row r="11" spans="1:13" ht="15.75" thickBot="1" x14ac:dyDescent="0.3">
      <c r="D11" s="66" t="s">
        <v>13</v>
      </c>
      <c r="E11" s="21">
        <f>SUM(E5:E10)</f>
        <v>304652.5</v>
      </c>
      <c r="F11" s="42">
        <f t="shared" ref="F11" si="2">SUM(F5:F10)</f>
        <v>99747.438969826282</v>
      </c>
      <c r="G11" s="21">
        <f>SUM(G5:G10)</f>
        <v>272157.67420761718</v>
      </c>
      <c r="H11" s="66"/>
      <c r="J11" s="42"/>
      <c r="K11" s="42"/>
      <c r="L11" s="66" t="s">
        <v>13</v>
      </c>
      <c r="M11" s="21">
        <f t="shared" ref="M11" si="3">SUM(M5:M10)</f>
        <v>80118.862951675415</v>
      </c>
    </row>
    <row r="12" spans="1:13" x14ac:dyDescent="0.25">
      <c r="I12" s="42"/>
    </row>
    <row r="13" spans="1:13" ht="15" customHeight="1" x14ac:dyDescent="0.25">
      <c r="A13" s="13" t="s">
        <v>95</v>
      </c>
      <c r="C13" s="2" t="s">
        <v>15</v>
      </c>
      <c r="D13" s="2">
        <f>Jahreskosten!D17</f>
        <v>116000</v>
      </c>
      <c r="F13" s="47">
        <f>Jahreskosten!E18</f>
        <v>0</v>
      </c>
      <c r="G13" s="42"/>
      <c r="H13" s="4"/>
      <c r="I13" s="42"/>
    </row>
    <row r="14" spans="1:13" x14ac:dyDescent="0.25">
      <c r="B14" t="s">
        <v>75</v>
      </c>
      <c r="E14" s="2">
        <f>E11</f>
        <v>304652.5</v>
      </c>
      <c r="I14" s="42"/>
      <c r="M14" s="11">
        <f>M11</f>
        <v>80118.862951675415</v>
      </c>
    </row>
    <row r="15" spans="1:13" x14ac:dyDescent="0.25">
      <c r="B15" t="s">
        <v>76</v>
      </c>
      <c r="E15" s="2"/>
      <c r="I15" s="86">
        <f>G11</f>
        <v>272157.67420761718</v>
      </c>
    </row>
    <row r="16" spans="1:13" x14ac:dyDescent="0.25">
      <c r="B16" t="s">
        <v>78</v>
      </c>
      <c r="E16" s="117">
        <f>D13/E14</f>
        <v>0.38076168749640982</v>
      </c>
      <c r="F16" s="118"/>
      <c r="G16" s="118"/>
      <c r="H16" s="118"/>
      <c r="I16" s="118"/>
      <c r="J16" s="118"/>
      <c r="K16" s="118"/>
      <c r="L16" s="118"/>
      <c r="M16" s="117">
        <f>D13/M14</f>
        <v>1.447848805217901</v>
      </c>
    </row>
    <row r="17" spans="1:28" x14ac:dyDescent="0.25">
      <c r="A17" s="42"/>
      <c r="B17" t="s">
        <v>77</v>
      </c>
      <c r="E17" s="119"/>
      <c r="F17" s="119"/>
      <c r="G17" s="118"/>
      <c r="H17" s="119"/>
      <c r="I17" s="117">
        <f>D13/G11</f>
        <v>0.42622351303424455</v>
      </c>
      <c r="J17" s="119"/>
      <c r="K17" s="119"/>
      <c r="L17" s="119"/>
      <c r="M17" s="119"/>
    </row>
    <row r="18" spans="1:28" x14ac:dyDescent="0.25">
      <c r="A18" s="88"/>
      <c r="I18" s="42"/>
    </row>
    <row r="20" spans="1:28" x14ac:dyDescent="0.25">
      <c r="A20" s="25" t="s">
        <v>57</v>
      </c>
      <c r="C20" s="1"/>
    </row>
    <row r="21" spans="1:28" x14ac:dyDescent="0.25">
      <c r="A21" s="13" t="s">
        <v>96</v>
      </c>
      <c r="B21" s="1"/>
      <c r="C21" s="1"/>
    </row>
    <row r="22" spans="1:28" x14ac:dyDescent="0.25">
      <c r="B22" s="63" t="s">
        <v>97</v>
      </c>
      <c r="C22" s="1"/>
      <c r="E22" t="s">
        <v>98</v>
      </c>
    </row>
    <row r="23" spans="1:28" x14ac:dyDescent="0.25">
      <c r="B23" s="1" t="s">
        <v>99</v>
      </c>
      <c r="E23" s="47">
        <v>80</v>
      </c>
    </row>
    <row r="24" spans="1:28" x14ac:dyDescent="0.25">
      <c r="B24" s="1" t="s">
        <v>100</v>
      </c>
      <c r="E24" s="47">
        <v>150</v>
      </c>
    </row>
    <row r="25" spans="1:28" x14ac:dyDescent="0.25">
      <c r="A25" s="39"/>
      <c r="B25" s="1" t="s">
        <v>1</v>
      </c>
      <c r="C25" s="39"/>
      <c r="D25" s="39"/>
      <c r="E25" s="47">
        <v>100</v>
      </c>
    </row>
    <row r="26" spans="1:28" x14ac:dyDescent="0.25">
      <c r="A26" s="39"/>
      <c r="B26" s="1" t="s">
        <v>1</v>
      </c>
      <c r="C26" s="39"/>
      <c r="D26" s="39"/>
      <c r="E26" s="47">
        <v>323</v>
      </c>
      <c r="G26"/>
      <c r="I26" s="42"/>
    </row>
    <row r="27" spans="1:28" s="39" customFormat="1" x14ac:dyDescent="0.25">
      <c r="A27"/>
      <c r="B27" s="1" t="s">
        <v>5</v>
      </c>
      <c r="C27" s="2"/>
      <c r="D27"/>
      <c r="E27" s="47">
        <v>149347</v>
      </c>
      <c r="AB27"/>
    </row>
    <row r="28" spans="1:28" s="39" customFormat="1" ht="15.75" thickBot="1" x14ac:dyDescent="0.3">
      <c r="A28"/>
      <c r="B28" s="49" t="s">
        <v>0</v>
      </c>
      <c r="C28" s="2"/>
      <c r="D28"/>
      <c r="E28" s="48">
        <f>SUM(E23:E27)</f>
        <v>150000</v>
      </c>
    </row>
    <row r="30" spans="1:28" x14ac:dyDescent="0.25">
      <c r="A30" s="13" t="s">
        <v>101</v>
      </c>
      <c r="B30" s="1"/>
      <c r="C30" s="2" t="s">
        <v>15</v>
      </c>
      <c r="D30" s="2">
        <f>Jahreskosten!E17</f>
        <v>124000</v>
      </c>
    </row>
    <row r="31" spans="1:28" x14ac:dyDescent="0.25">
      <c r="B31" s="1" t="s">
        <v>102</v>
      </c>
      <c r="C31" s="1"/>
      <c r="D31" s="117">
        <f>MROUND(D30/E28,0.05)</f>
        <v>0.85000000000000009</v>
      </c>
    </row>
    <row r="32" spans="1:28" x14ac:dyDescent="0.25">
      <c r="B32" s="1"/>
      <c r="C32" s="1"/>
    </row>
    <row r="33" spans="1:13" ht="15" customHeight="1" x14ac:dyDescent="0.25">
      <c r="A33" s="148" t="s">
        <v>79</v>
      </c>
      <c r="B33" s="89" t="s">
        <v>80</v>
      </c>
      <c r="C33" s="38"/>
      <c r="D33" s="89"/>
      <c r="E33" s="38">
        <f>Anschlussgebühr!E27</f>
        <v>845</v>
      </c>
      <c r="F33" s="89"/>
      <c r="G33" s="38"/>
      <c r="H33" s="89"/>
      <c r="I33" s="89">
        <f>Anschlussgebühr!I27</f>
        <v>845</v>
      </c>
      <c r="J33" s="89"/>
      <c r="K33" s="89"/>
      <c r="L33" s="89"/>
      <c r="M33" s="90">
        <v>845</v>
      </c>
    </row>
    <row r="34" spans="1:13" x14ac:dyDescent="0.25">
      <c r="A34" s="149"/>
      <c r="B34" s="42" t="s">
        <v>81</v>
      </c>
      <c r="C34" s="4"/>
      <c r="D34" s="42"/>
      <c r="E34" s="91">
        <f>Anschlussgebühr!E28</f>
        <v>0.75</v>
      </c>
      <c r="F34" s="42"/>
      <c r="G34" s="4"/>
      <c r="H34" s="42"/>
      <c r="I34" s="42"/>
      <c r="J34" s="42"/>
      <c r="K34" s="42"/>
      <c r="L34" s="42"/>
      <c r="M34" s="92"/>
    </row>
    <row r="35" spans="1:13" x14ac:dyDescent="0.25">
      <c r="A35" s="149"/>
      <c r="B35" s="42" t="s">
        <v>82</v>
      </c>
      <c r="C35" s="4"/>
      <c r="D35" s="42"/>
      <c r="E35" s="42"/>
      <c r="F35" s="42"/>
      <c r="G35" s="4"/>
      <c r="H35" s="42"/>
      <c r="I35" s="91">
        <f>Anschlussgebühr!I29</f>
        <v>0.67</v>
      </c>
      <c r="J35" s="42"/>
      <c r="K35" s="42"/>
      <c r="L35" s="42"/>
      <c r="M35" s="92"/>
    </row>
    <row r="36" spans="1:13" x14ac:dyDescent="0.25">
      <c r="A36" s="149"/>
      <c r="B36" s="42" t="s">
        <v>83</v>
      </c>
      <c r="C36" s="4"/>
      <c r="D36" s="42"/>
      <c r="E36" s="42"/>
      <c r="F36" s="42"/>
      <c r="G36" s="4"/>
      <c r="H36" s="42"/>
      <c r="I36" s="42"/>
      <c r="J36" s="42"/>
      <c r="K36" s="42"/>
      <c r="L36" s="42"/>
      <c r="M36" s="92">
        <v>0.2</v>
      </c>
    </row>
    <row r="37" spans="1:13" x14ac:dyDescent="0.25">
      <c r="A37" s="149"/>
      <c r="B37" s="42" t="s">
        <v>84</v>
      </c>
      <c r="C37" s="4"/>
      <c r="D37" s="42"/>
      <c r="E37" s="4">
        <f>E34*E33</f>
        <v>633.75</v>
      </c>
      <c r="F37" s="42"/>
      <c r="G37" s="4"/>
      <c r="H37" s="42"/>
      <c r="I37" s="42"/>
      <c r="J37" s="42"/>
      <c r="K37" s="42"/>
      <c r="L37" s="42"/>
      <c r="M37" s="92"/>
    </row>
    <row r="38" spans="1:13" x14ac:dyDescent="0.25">
      <c r="A38" s="149"/>
      <c r="B38" s="42" t="s">
        <v>85</v>
      </c>
      <c r="C38" s="4"/>
      <c r="D38" s="42"/>
      <c r="E38" s="42"/>
      <c r="F38" s="42"/>
      <c r="G38" s="4"/>
      <c r="H38" s="42"/>
      <c r="I38" s="4">
        <f>E33*I35</f>
        <v>566.15</v>
      </c>
      <c r="J38" s="42"/>
      <c r="K38" s="42"/>
      <c r="L38" s="42"/>
      <c r="M38" s="92">
        <f>M33*M36</f>
        <v>169</v>
      </c>
    </row>
    <row r="39" spans="1:13" x14ac:dyDescent="0.25">
      <c r="A39" s="149"/>
      <c r="B39" s="39" t="s">
        <v>103</v>
      </c>
      <c r="C39" s="4"/>
      <c r="D39" s="42"/>
      <c r="E39" s="42">
        <v>200</v>
      </c>
      <c r="F39" s="42"/>
      <c r="G39" s="4"/>
      <c r="H39" s="42"/>
      <c r="I39" s="4">
        <v>200</v>
      </c>
      <c r="J39" s="42"/>
      <c r="K39" s="42"/>
      <c r="L39" s="42"/>
      <c r="M39" s="92">
        <v>200</v>
      </c>
    </row>
    <row r="40" spans="1:13" x14ac:dyDescent="0.25">
      <c r="A40" s="149"/>
      <c r="B40" s="42" t="s">
        <v>104</v>
      </c>
      <c r="C40" s="4"/>
      <c r="D40" s="42"/>
      <c r="E40" s="4">
        <f>E16*E37</f>
        <v>241.30771945084973</v>
      </c>
      <c r="F40" s="4"/>
      <c r="G40" s="4"/>
      <c r="H40" s="4"/>
      <c r="I40" s="4">
        <f>I38*I17</f>
        <v>241.30644190433753</v>
      </c>
      <c r="J40" s="4"/>
      <c r="K40" s="4"/>
      <c r="L40" s="4"/>
      <c r="M40" s="103">
        <f>M38*M16</f>
        <v>244.68644808182529</v>
      </c>
    </row>
    <row r="41" spans="1:13" x14ac:dyDescent="0.25">
      <c r="A41" s="149"/>
      <c r="B41" s="5" t="s">
        <v>105</v>
      </c>
      <c r="C41" s="9"/>
      <c r="D41" s="5"/>
      <c r="E41" s="9">
        <f>E39*D31</f>
        <v>170.00000000000003</v>
      </c>
      <c r="F41" s="9"/>
      <c r="G41" s="9"/>
      <c r="H41" s="9"/>
      <c r="I41" s="9">
        <f>I39*D31</f>
        <v>170.00000000000003</v>
      </c>
      <c r="J41" s="9"/>
      <c r="K41" s="9"/>
      <c r="L41" s="9"/>
      <c r="M41" s="115">
        <f>M39*D31</f>
        <v>170.00000000000003</v>
      </c>
    </row>
    <row r="42" spans="1:13" x14ac:dyDescent="0.25">
      <c r="A42" s="152"/>
      <c r="B42" s="5" t="s">
        <v>106</v>
      </c>
      <c r="C42" s="9"/>
      <c r="D42" s="5"/>
      <c r="E42" s="9">
        <f>E41+E40</f>
        <v>411.30771945084973</v>
      </c>
      <c r="F42" s="9">
        <f t="shared" ref="F42:M42" si="4">F41+F40</f>
        <v>0</v>
      </c>
      <c r="G42" s="9"/>
      <c r="H42" s="9"/>
      <c r="I42" s="9">
        <f t="shared" si="4"/>
        <v>411.30644190433759</v>
      </c>
      <c r="J42" s="9">
        <f t="shared" si="4"/>
        <v>0</v>
      </c>
      <c r="K42" s="9"/>
      <c r="L42" s="9"/>
      <c r="M42" s="9">
        <f t="shared" si="4"/>
        <v>414.68644808182535</v>
      </c>
    </row>
    <row r="43" spans="1:13" ht="19.5" x14ac:dyDescent="0.3">
      <c r="A43" s="23"/>
      <c r="B43" s="37" t="s">
        <v>107</v>
      </c>
      <c r="C43" s="4"/>
      <c r="D43" s="42"/>
      <c r="E43" s="120">
        <f>MROUND(E42/E39,0.05)</f>
        <v>2.0500000000000003</v>
      </c>
      <c r="F43" s="4"/>
      <c r="G43" s="4"/>
      <c r="H43" s="4"/>
      <c r="I43" s="120">
        <f>MROUND(I42/I39,0.05)</f>
        <v>2.0500000000000003</v>
      </c>
      <c r="J43" s="4"/>
      <c r="K43" s="4"/>
      <c r="L43" s="4"/>
      <c r="M43" s="120">
        <f>MROUND(M42/M39,0.05)</f>
        <v>2.0500000000000003</v>
      </c>
    </row>
    <row r="44" spans="1:13" x14ac:dyDescent="0.25">
      <c r="A44" s="39"/>
      <c r="B44" s="1"/>
      <c r="C44" s="1"/>
      <c r="D44" s="39"/>
      <c r="E44" s="39"/>
      <c r="F44" s="39"/>
      <c r="G44" s="62"/>
      <c r="H44" s="39"/>
      <c r="J44" s="39"/>
    </row>
    <row r="45" spans="1:13" x14ac:dyDescent="0.25">
      <c r="A45" s="39"/>
      <c r="B45" s="1"/>
      <c r="C45" s="1"/>
      <c r="D45" s="39"/>
      <c r="E45" s="39"/>
      <c r="F45" s="39"/>
      <c r="G45" s="62"/>
      <c r="H45" s="39"/>
      <c r="J45" s="39"/>
    </row>
    <row r="46" spans="1:13" x14ac:dyDescent="0.25">
      <c r="A46" s="39"/>
      <c r="B46" s="1"/>
      <c r="C46" s="1"/>
      <c r="D46" s="39"/>
      <c r="F46" s="39"/>
      <c r="G46" s="62"/>
      <c r="H46" s="39"/>
      <c r="J46" s="39"/>
    </row>
  </sheetData>
  <mergeCells count="1">
    <mergeCell ref="A33:A42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I46"/>
  <sheetViews>
    <sheetView zoomScaleNormal="100" workbookViewId="0">
      <selection activeCell="F32" sqref="F32:F34"/>
    </sheetView>
  </sheetViews>
  <sheetFormatPr baseColWidth="10" defaultRowHeight="15" x14ac:dyDescent="0.25"/>
  <cols>
    <col min="1" max="1" width="2.85546875" customWidth="1"/>
    <col min="2" max="2" width="0.85546875" customWidth="1"/>
    <col min="3" max="3" width="1.7109375" customWidth="1"/>
    <col min="4" max="4" width="38.140625" customWidth="1"/>
    <col min="6" max="6" width="9.42578125" customWidth="1"/>
    <col min="7" max="7" width="2.28515625" customWidth="1"/>
    <col min="8" max="8" width="38.140625" customWidth="1"/>
    <col min="10" max="10" width="1.7109375" customWidth="1"/>
    <col min="11" max="11" width="0.85546875" customWidth="1"/>
  </cols>
  <sheetData>
    <row r="1" spans="4:9" x14ac:dyDescent="0.25">
      <c r="D1" s="13" t="s">
        <v>109</v>
      </c>
      <c r="H1" s="13"/>
    </row>
    <row r="2" spans="4:9" x14ac:dyDescent="0.25">
      <c r="D2" s="46" t="s">
        <v>93</v>
      </c>
      <c r="H2" s="25" t="s">
        <v>57</v>
      </c>
    </row>
    <row r="4" spans="4:9" ht="45" x14ac:dyDescent="0.25">
      <c r="D4" s="28" t="s">
        <v>108</v>
      </c>
      <c r="E4" s="58" t="s">
        <v>110</v>
      </c>
      <c r="G4" s="44"/>
      <c r="H4" s="30" t="s">
        <v>125</v>
      </c>
    </row>
    <row r="5" spans="4:9" x14ac:dyDescent="0.25">
      <c r="D5" s="1" t="s">
        <v>99</v>
      </c>
      <c r="E5">
        <v>3</v>
      </c>
      <c r="G5" s="2"/>
    </row>
    <row r="6" spans="4:9" ht="15.75" thickBot="1" x14ac:dyDescent="0.3">
      <c r="D6" s="1" t="s">
        <v>100</v>
      </c>
      <c r="E6">
        <v>5</v>
      </c>
      <c r="G6" s="2"/>
      <c r="I6" s="21">
        <f>Jahreskosten!E17</f>
        <v>124000</v>
      </c>
    </row>
    <row r="7" spans="4:9" x14ac:dyDescent="0.25">
      <c r="D7" t="s">
        <v>1</v>
      </c>
      <c r="E7">
        <v>20</v>
      </c>
      <c r="G7" s="2"/>
    </row>
    <row r="8" spans="4:9" x14ac:dyDescent="0.25">
      <c r="D8" t="s">
        <v>1</v>
      </c>
      <c r="E8">
        <v>30</v>
      </c>
      <c r="G8" s="2"/>
      <c r="H8" s="28" t="s">
        <v>126</v>
      </c>
    </row>
    <row r="9" spans="4:9" ht="15.75" thickBot="1" x14ac:dyDescent="0.3">
      <c r="E9">
        <v>120</v>
      </c>
      <c r="G9" s="2"/>
      <c r="H9" t="s">
        <v>127</v>
      </c>
      <c r="I9" s="21">
        <v>150000</v>
      </c>
    </row>
    <row r="10" spans="4:9" x14ac:dyDescent="0.25">
      <c r="E10">
        <v>9140</v>
      </c>
      <c r="G10" s="2"/>
    </row>
    <row r="11" spans="4:9" ht="15.75" thickBot="1" x14ac:dyDescent="0.3">
      <c r="D11" s="26" t="s">
        <v>0</v>
      </c>
      <c r="E11" s="21">
        <f>SUM(E5:E10)</f>
        <v>9318</v>
      </c>
      <c r="G11" s="4"/>
      <c r="H11" s="112"/>
      <c r="I11" s="39"/>
    </row>
    <row r="12" spans="4:9" x14ac:dyDescent="0.25">
      <c r="H12" s="39"/>
      <c r="I12" s="113"/>
    </row>
    <row r="13" spans="4:9" x14ac:dyDescent="0.25">
      <c r="D13" s="28" t="s">
        <v>101</v>
      </c>
      <c r="H13" s="39"/>
      <c r="I13" s="113"/>
    </row>
    <row r="14" spans="4:9" x14ac:dyDescent="0.25">
      <c r="D14" t="s">
        <v>7</v>
      </c>
      <c r="E14" s="2">
        <f>Jahreskosten!D17</f>
        <v>116000</v>
      </c>
      <c r="H14" s="39"/>
      <c r="I14" s="113"/>
    </row>
    <row r="15" spans="4:9" x14ac:dyDescent="0.25">
      <c r="H15" s="54"/>
      <c r="I15" s="39"/>
    </row>
    <row r="16" spans="4:9" ht="30" x14ac:dyDescent="0.25">
      <c r="D16" s="30" t="s">
        <v>119</v>
      </c>
      <c r="E16" s="4"/>
      <c r="H16" s="112"/>
      <c r="I16" s="39"/>
    </row>
    <row r="17" spans="1:9" x14ac:dyDescent="0.25">
      <c r="D17" t="s">
        <v>111</v>
      </c>
      <c r="E17" s="31">
        <v>1</v>
      </c>
      <c r="H17" s="39"/>
      <c r="I17" s="113"/>
    </row>
    <row r="18" spans="1:9" x14ac:dyDescent="0.25">
      <c r="D18" t="s">
        <v>112</v>
      </c>
      <c r="E18" s="31">
        <v>0.5</v>
      </c>
      <c r="F18" s="11"/>
      <c r="G18" s="11"/>
      <c r="H18" s="39"/>
      <c r="I18" s="113"/>
    </row>
    <row r="19" spans="1:9" x14ac:dyDescent="0.25">
      <c r="D19" t="s">
        <v>113</v>
      </c>
      <c r="E19" s="31">
        <v>0.25</v>
      </c>
      <c r="F19" s="11"/>
      <c r="G19" s="11"/>
      <c r="H19" s="39"/>
      <c r="I19" s="113"/>
    </row>
    <row r="20" spans="1:9" x14ac:dyDescent="0.25">
      <c r="F20" s="11"/>
      <c r="G20" s="11"/>
    </row>
    <row r="21" spans="1:9" x14ac:dyDescent="0.25">
      <c r="D21" s="30" t="s">
        <v>114</v>
      </c>
      <c r="E21" s="29"/>
      <c r="F21" s="11"/>
      <c r="G21" s="11"/>
    </row>
    <row r="22" spans="1:9" x14ac:dyDescent="0.25">
      <c r="D22" t="s">
        <v>111</v>
      </c>
      <c r="E22" s="31">
        <v>0.9</v>
      </c>
    </row>
    <row r="23" spans="1:9" x14ac:dyDescent="0.25">
      <c r="D23" t="s">
        <v>112</v>
      </c>
      <c r="E23" s="31">
        <v>0.08</v>
      </c>
    </row>
    <row r="24" spans="1:9" x14ac:dyDescent="0.25">
      <c r="D24" t="s">
        <v>113</v>
      </c>
      <c r="E24" s="31">
        <v>0.02</v>
      </c>
    </row>
    <row r="26" spans="1:9" x14ac:dyDescent="0.25">
      <c r="D26" s="37" t="s">
        <v>120</v>
      </c>
      <c r="E26" s="76"/>
      <c r="H26" s="37" t="s">
        <v>118</v>
      </c>
      <c r="I26" s="85">
        <f>MROUND(I6/I9,0.05)</f>
        <v>0.85000000000000009</v>
      </c>
    </row>
    <row r="27" spans="1:9" x14ac:dyDescent="0.25">
      <c r="D27" s="74" t="s">
        <v>115</v>
      </c>
      <c r="E27" s="77">
        <f>ROUND((E14)/(E22*E11+E23*E18*E11+E24*E19*E11),0)</f>
        <v>13</v>
      </c>
      <c r="H27" s="96"/>
      <c r="I27" s="104"/>
    </row>
    <row r="28" spans="1:9" x14ac:dyDescent="0.25">
      <c r="D28" s="74" t="s">
        <v>116</v>
      </c>
      <c r="E28" s="78">
        <f>ROUND(E27*E18,0)</f>
        <v>7</v>
      </c>
      <c r="H28" s="53"/>
      <c r="I28" s="105"/>
    </row>
    <row r="29" spans="1:9" x14ac:dyDescent="0.25">
      <c r="D29" s="75" t="s">
        <v>117</v>
      </c>
      <c r="E29" s="79">
        <f>ROUND(E27*E19,0)</f>
        <v>3</v>
      </c>
      <c r="H29" s="53"/>
      <c r="I29" s="105"/>
    </row>
    <row r="31" spans="1:9" x14ac:dyDescent="0.25">
      <c r="A31" s="153" t="s">
        <v>79</v>
      </c>
      <c r="B31" s="154"/>
      <c r="C31" s="89"/>
      <c r="D31" s="89"/>
      <c r="E31" s="89"/>
      <c r="F31" s="89"/>
      <c r="G31" s="107">
        <f>IF(E33&lt;=200,I27*E33,0)</f>
        <v>0</v>
      </c>
      <c r="H31" s="89"/>
      <c r="I31" s="90"/>
    </row>
    <row r="32" spans="1:9" ht="15.75" thickBot="1" x14ac:dyDescent="0.3">
      <c r="A32" s="155"/>
      <c r="B32" s="156"/>
      <c r="C32" s="42"/>
      <c r="D32" s="42" t="s">
        <v>121</v>
      </c>
      <c r="E32" s="57">
        <v>18</v>
      </c>
      <c r="F32" s="82">
        <f>IF(E32&lt;=20,E32*E27,0)</f>
        <v>234</v>
      </c>
      <c r="G32" s="82">
        <f>IF(E33&gt;200,IF(E33&lt;=2000,200*I27+(E33-200)*I28,0),0)</f>
        <v>0</v>
      </c>
      <c r="H32" s="53" t="s">
        <v>124</v>
      </c>
      <c r="I32" s="106">
        <f>E34+E35</f>
        <v>404</v>
      </c>
    </row>
    <row r="33" spans="1:9" ht="20.25" thickBot="1" x14ac:dyDescent="0.35">
      <c r="A33" s="155"/>
      <c r="B33" s="156"/>
      <c r="C33" s="42"/>
      <c r="D33" s="42" t="s">
        <v>122</v>
      </c>
      <c r="E33" s="40">
        <v>200</v>
      </c>
      <c r="F33" s="82">
        <f>IF(E32&gt;20,IF(E32&lt;=120,20*E27+(E32-20)*E28,0),0)</f>
        <v>0</v>
      </c>
      <c r="G33" s="82">
        <f>IF(E33&gt;2000,(200*I27+1800*I28+(E33-2000)*I29),0)</f>
        <v>0</v>
      </c>
      <c r="H33" s="43" t="s">
        <v>6</v>
      </c>
      <c r="I33" s="108">
        <f>MROUND(I32/E33,0.05)</f>
        <v>2</v>
      </c>
    </row>
    <row r="34" spans="1:9" x14ac:dyDescent="0.25">
      <c r="A34" s="155"/>
      <c r="B34" s="156"/>
      <c r="C34" s="42"/>
      <c r="D34" s="42" t="s">
        <v>123</v>
      </c>
      <c r="E34" s="83">
        <f>SUM(F32:F34)</f>
        <v>234</v>
      </c>
      <c r="F34" s="82">
        <f>IF(E32&gt;120,(20*E27+100*E28+(E32-120)*E29),0)</f>
        <v>0</v>
      </c>
      <c r="G34" s="82"/>
      <c r="H34" s="39"/>
      <c r="I34" s="92"/>
    </row>
    <row r="35" spans="1:9" x14ac:dyDescent="0.25">
      <c r="A35" s="155"/>
      <c r="B35" s="156"/>
      <c r="C35" s="42"/>
      <c r="D35" s="42" t="s">
        <v>105</v>
      </c>
      <c r="E35" s="83">
        <f>E33*I26</f>
        <v>170.00000000000003</v>
      </c>
      <c r="F35" s="82"/>
      <c r="G35" s="82"/>
      <c r="H35" s="42"/>
      <c r="I35" s="92"/>
    </row>
    <row r="36" spans="1:9" x14ac:dyDescent="0.25">
      <c r="A36" s="157"/>
      <c r="B36" s="158"/>
      <c r="C36" s="5"/>
      <c r="D36" s="5"/>
      <c r="E36" s="5"/>
      <c r="F36" s="109"/>
      <c r="G36" s="110"/>
      <c r="H36" s="5"/>
      <c r="I36" s="111"/>
    </row>
    <row r="37" spans="1:9" x14ac:dyDescent="0.25">
      <c r="A37" s="88"/>
      <c r="B37" s="42"/>
      <c r="C37" s="42"/>
      <c r="D37" s="42"/>
      <c r="E37" s="42"/>
      <c r="F37" s="84"/>
      <c r="G37" s="82"/>
      <c r="H37" s="39"/>
      <c r="I37" s="42"/>
    </row>
    <row r="38" spans="1:9" x14ac:dyDescent="0.25">
      <c r="H38" s="39"/>
    </row>
    <row r="46" spans="1:9" ht="17.25" x14ac:dyDescent="0.3">
      <c r="D46" s="41"/>
    </row>
  </sheetData>
  <mergeCells count="1">
    <mergeCell ref="A31:B36"/>
  </mergeCells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H36"/>
  <sheetViews>
    <sheetView topLeftCell="A7" zoomScaleNormal="100" workbookViewId="0">
      <selection activeCell="E32" sqref="E32"/>
    </sheetView>
  </sheetViews>
  <sheetFormatPr baseColWidth="10" defaultRowHeight="15" x14ac:dyDescent="0.25"/>
  <cols>
    <col min="1" max="1" width="1.85546875" style="1" customWidth="1"/>
    <col min="2" max="2" width="0.85546875" style="1" customWidth="1"/>
    <col min="3" max="3" width="1.7109375" style="1" customWidth="1"/>
    <col min="4" max="4" width="45.7109375" style="1" customWidth="1"/>
    <col min="5" max="5" width="11.42578125" style="1"/>
    <col min="6" max="6" width="2.28515625" style="1" customWidth="1"/>
    <col min="7" max="7" width="45.7109375" style="1" customWidth="1"/>
    <col min="8" max="8" width="11.42578125" style="1"/>
    <col min="9" max="9" width="1.7109375" style="1" customWidth="1"/>
    <col min="10" max="10" width="0.85546875" style="1" customWidth="1"/>
    <col min="11" max="11" width="2.28515625" style="1" customWidth="1"/>
    <col min="12" max="16384" width="11.42578125" style="1"/>
  </cols>
  <sheetData>
    <row r="1" spans="4:8" x14ac:dyDescent="0.25">
      <c r="D1" s="13" t="s">
        <v>128</v>
      </c>
      <c r="G1" s="45"/>
    </row>
    <row r="2" spans="4:8" x14ac:dyDescent="0.25">
      <c r="D2" s="46" t="s">
        <v>93</v>
      </c>
      <c r="G2" s="46" t="s">
        <v>57</v>
      </c>
    </row>
    <row r="4" spans="4:8" x14ac:dyDescent="0.25">
      <c r="D4" s="28" t="s">
        <v>108</v>
      </c>
      <c r="E4" s="44" t="s">
        <v>129</v>
      </c>
      <c r="G4" s="30" t="s">
        <v>125</v>
      </c>
      <c r="H4" s="47">
        <f>Jahreskosten!E17</f>
        <v>124000</v>
      </c>
    </row>
    <row r="5" spans="4:8" x14ac:dyDescent="0.25">
      <c r="D5" s="1" t="s">
        <v>99</v>
      </c>
      <c r="E5" s="47">
        <v>40</v>
      </c>
    </row>
    <row r="6" spans="4:8" x14ac:dyDescent="0.25">
      <c r="D6" s="1" t="s">
        <v>100</v>
      </c>
      <c r="E6" s="47">
        <v>60</v>
      </c>
      <c r="G6" s="28" t="s">
        <v>130</v>
      </c>
    </row>
    <row r="7" spans="4:8" x14ac:dyDescent="0.25">
      <c r="D7" s="1" t="s">
        <v>1</v>
      </c>
      <c r="E7" s="47">
        <v>25</v>
      </c>
      <c r="G7" s="1" t="s">
        <v>99</v>
      </c>
      <c r="H7" s="47">
        <v>80</v>
      </c>
    </row>
    <row r="8" spans="4:8" x14ac:dyDescent="0.25">
      <c r="D8" s="1" t="s">
        <v>1</v>
      </c>
      <c r="E8" s="47">
        <v>323</v>
      </c>
      <c r="G8" s="1" t="s">
        <v>100</v>
      </c>
      <c r="H8" s="47">
        <v>150</v>
      </c>
    </row>
    <row r="9" spans="4:8" x14ac:dyDescent="0.25">
      <c r="D9" s="1" t="s">
        <v>5</v>
      </c>
      <c r="E9" s="47">
        <v>25954.216382113664</v>
      </c>
      <c r="G9" s="1" t="s">
        <v>1</v>
      </c>
      <c r="H9" s="47">
        <v>100</v>
      </c>
    </row>
    <row r="10" spans="4:8" x14ac:dyDescent="0.25">
      <c r="E10" s="47"/>
      <c r="G10" s="1" t="s">
        <v>1</v>
      </c>
      <c r="H10" s="47">
        <v>323</v>
      </c>
    </row>
    <row r="11" spans="4:8" ht="15.75" thickBot="1" x14ac:dyDescent="0.3">
      <c r="D11" s="49" t="s">
        <v>0</v>
      </c>
      <c r="E11" s="48">
        <f>SUM(E5:E10)</f>
        <v>26402.216382113664</v>
      </c>
      <c r="G11" s="1" t="s">
        <v>5</v>
      </c>
      <c r="H11" s="47">
        <v>149347</v>
      </c>
    </row>
    <row r="12" spans="4:8" ht="15.75" thickBot="1" x14ac:dyDescent="0.3">
      <c r="D12" s="50"/>
      <c r="G12" s="49" t="s">
        <v>0</v>
      </c>
      <c r="H12" s="48">
        <f>SUM(H7:H11)</f>
        <v>150000</v>
      </c>
    </row>
    <row r="13" spans="4:8" x14ac:dyDescent="0.25">
      <c r="D13" s="28" t="s">
        <v>101</v>
      </c>
      <c r="E13" s="47">
        <f>Jahreskosten!D17</f>
        <v>116000</v>
      </c>
    </row>
    <row r="15" spans="4:8" ht="30" x14ac:dyDescent="0.25">
      <c r="D15" s="30" t="s">
        <v>131</v>
      </c>
    </row>
    <row r="16" spans="4:8" x14ac:dyDescent="0.25">
      <c r="D16" s="1" t="s">
        <v>132</v>
      </c>
      <c r="E16" s="51">
        <v>1</v>
      </c>
    </row>
    <row r="17" spans="1:8" x14ac:dyDescent="0.25">
      <c r="D17" s="1" t="s">
        <v>133</v>
      </c>
      <c r="E17" s="51">
        <v>0.5</v>
      </c>
    </row>
    <row r="18" spans="1:8" x14ac:dyDescent="0.25">
      <c r="D18" s="1" t="s">
        <v>137</v>
      </c>
      <c r="E18" s="51">
        <v>0.25</v>
      </c>
      <c r="F18" s="52"/>
    </row>
    <row r="19" spans="1:8" x14ac:dyDescent="0.25">
      <c r="F19" s="52"/>
    </row>
    <row r="20" spans="1:8" x14ac:dyDescent="0.25">
      <c r="D20" s="30" t="s">
        <v>114</v>
      </c>
      <c r="E20" s="29"/>
      <c r="F20" s="52"/>
    </row>
    <row r="21" spans="1:8" x14ac:dyDescent="0.25">
      <c r="D21" s="1" t="s">
        <v>132</v>
      </c>
      <c r="E21" s="51">
        <v>0.8</v>
      </c>
      <c r="F21" s="52"/>
    </row>
    <row r="22" spans="1:8" x14ac:dyDescent="0.25">
      <c r="D22" s="1" t="s">
        <v>133</v>
      </c>
      <c r="E22" s="51">
        <v>0.15</v>
      </c>
    </row>
    <row r="23" spans="1:8" x14ac:dyDescent="0.25">
      <c r="D23" s="1" t="s">
        <v>137</v>
      </c>
      <c r="E23" s="51">
        <v>0.05</v>
      </c>
    </row>
    <row r="24" spans="1:8" x14ac:dyDescent="0.25">
      <c r="D24" s="53"/>
      <c r="E24" s="53"/>
      <c r="F24" s="53"/>
    </row>
    <row r="25" spans="1:8" x14ac:dyDescent="0.25">
      <c r="D25" s="37" t="s">
        <v>134</v>
      </c>
      <c r="E25" s="76"/>
      <c r="F25" s="53"/>
      <c r="G25" s="37" t="s">
        <v>118</v>
      </c>
      <c r="H25" s="85">
        <f>MROUND(H4/H12,0.05)</f>
        <v>0.85000000000000009</v>
      </c>
    </row>
    <row r="26" spans="1:8" x14ac:dyDescent="0.25">
      <c r="D26" s="74" t="s">
        <v>136</v>
      </c>
      <c r="E26" s="77">
        <f>(E13)/(E21*E11+E22*E17*E11+E23*E18*E11)</f>
        <v>4.9505020131817048</v>
      </c>
      <c r="F26" s="53"/>
      <c r="G26" s="60">
        <f>IF(E31&lt;=50,E31*E26,0)</f>
        <v>247.52510065908524</v>
      </c>
      <c r="H26" s="60" t="e">
        <f>IF(E32&lt;=200,#REF!*E32,0)</f>
        <v>#REF!</v>
      </c>
    </row>
    <row r="27" spans="1:8" x14ac:dyDescent="0.25">
      <c r="D27" s="74" t="s">
        <v>135</v>
      </c>
      <c r="E27" s="78">
        <f>E26*E17</f>
        <v>2.4752510065908524</v>
      </c>
      <c r="F27" s="53"/>
      <c r="G27" s="80">
        <f>IF(E31&gt;50,IF(E31&lt;=150,50*E26+(E31-50)*E27,0),0)</f>
        <v>0</v>
      </c>
      <c r="H27" s="80">
        <f>IF(E32&gt;200,IF(E32&lt;=2000,200*#REF!+(E32-200)*#REF!,0),0)</f>
        <v>0</v>
      </c>
    </row>
    <row r="28" spans="1:8" x14ac:dyDescent="0.25">
      <c r="D28" s="75" t="s">
        <v>138</v>
      </c>
      <c r="E28" s="79">
        <f>E26*E18</f>
        <v>1.2376255032954262</v>
      </c>
      <c r="F28" s="53"/>
      <c r="G28" s="80">
        <f>IF(E31&gt;150,(50*E26+100*E27+(E31-150)*E28),0)</f>
        <v>0</v>
      </c>
      <c r="H28" s="80">
        <f>IF(E32&gt;2000,(200*#REF!+1800*#REF!+(E32-2000)*#REF!),0)</f>
        <v>0</v>
      </c>
    </row>
    <row r="29" spans="1:8" x14ac:dyDescent="0.25">
      <c r="F29" s="53"/>
      <c r="G29" s="53"/>
      <c r="H29" s="53"/>
    </row>
    <row r="30" spans="1:8" x14ac:dyDescent="0.25">
      <c r="A30" s="153" t="s">
        <v>79</v>
      </c>
      <c r="B30" s="154"/>
      <c r="C30" s="96"/>
      <c r="D30" s="96"/>
      <c r="E30" s="96"/>
      <c r="F30" s="96"/>
      <c r="G30" s="96"/>
      <c r="H30" s="97"/>
    </row>
    <row r="31" spans="1:8" ht="15.75" thickBot="1" x14ac:dyDescent="0.3">
      <c r="A31" s="155"/>
      <c r="B31" s="156"/>
      <c r="C31" s="53"/>
      <c r="D31" s="53" t="s">
        <v>139</v>
      </c>
      <c r="E31" s="55">
        <v>50</v>
      </c>
      <c r="F31" s="53"/>
      <c r="G31" s="53" t="s">
        <v>124</v>
      </c>
      <c r="H31" s="102">
        <f>E33+E34</f>
        <v>412.85843399241855</v>
      </c>
    </row>
    <row r="32" spans="1:8" ht="20.25" thickBot="1" x14ac:dyDescent="0.35">
      <c r="A32" s="155"/>
      <c r="B32" s="156"/>
      <c r="C32" s="53"/>
      <c r="D32" s="42" t="s">
        <v>122</v>
      </c>
      <c r="E32" s="55">
        <v>200</v>
      </c>
      <c r="F32" s="53"/>
      <c r="G32" s="56" t="s">
        <v>6</v>
      </c>
      <c r="H32" s="101">
        <f>MROUND(H31/E32,0.05)</f>
        <v>2.0500000000000003</v>
      </c>
    </row>
    <row r="33" spans="1:8" x14ac:dyDescent="0.25">
      <c r="A33" s="155"/>
      <c r="B33" s="156"/>
      <c r="C33" s="53"/>
      <c r="D33" s="53" t="s">
        <v>140</v>
      </c>
      <c r="E33" s="81">
        <f>SUM(G26:G28)</f>
        <v>247.52510065908524</v>
      </c>
      <c r="F33" s="53"/>
      <c r="G33" s="54"/>
      <c r="H33" s="98"/>
    </row>
    <row r="34" spans="1:8" x14ac:dyDescent="0.25">
      <c r="A34" s="155"/>
      <c r="B34" s="156"/>
      <c r="C34" s="53"/>
      <c r="D34" s="53" t="s">
        <v>141</v>
      </c>
      <c r="E34" s="81">
        <f>E32*(H4/H12)</f>
        <v>165.33333333333334</v>
      </c>
      <c r="F34" s="53"/>
      <c r="G34" s="53"/>
      <c r="H34" s="98"/>
    </row>
    <row r="35" spans="1:8" x14ac:dyDescent="0.25">
      <c r="A35" s="157"/>
      <c r="B35" s="158"/>
      <c r="C35" s="99"/>
      <c r="D35" s="99"/>
      <c r="E35" s="99"/>
      <c r="F35" s="99"/>
      <c r="G35" s="99"/>
      <c r="H35" s="100"/>
    </row>
    <row r="36" spans="1:8" x14ac:dyDescent="0.25">
      <c r="G36" s="54"/>
    </row>
  </sheetData>
  <mergeCells count="1">
    <mergeCell ref="A30:B35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Werterhalt</vt:lpstr>
      <vt:lpstr>Jahreskosten</vt:lpstr>
      <vt:lpstr>Anschlussgebühr</vt:lpstr>
      <vt:lpstr>jährliche Gebühr A</vt:lpstr>
      <vt:lpstr>jährliche Gebühr B</vt:lpstr>
      <vt:lpstr>jährliche Gebühr C</vt:lpstr>
    </vt:vector>
  </TitlesOfParts>
  <Company>Sitel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Sitel</dc:creator>
  <cp:lastModifiedBy>Meienberger Gil</cp:lastModifiedBy>
  <cp:lastPrinted>2014-09-02T13:56:06Z</cp:lastPrinted>
  <dcterms:created xsi:type="dcterms:W3CDTF">2013-07-23T07:32:39Z</dcterms:created>
  <dcterms:modified xsi:type="dcterms:W3CDTF">2018-10-16T14:03:39Z</dcterms:modified>
</cp:coreProperties>
</file>