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Data\IT\Internet\pm\"/>
    </mc:Choice>
  </mc:AlternateContent>
  <bookViews>
    <workbookView showHorizontalScroll="0" showVerticalScroll="0" showSheetTabs="0" xWindow="-420" yWindow="1140" windowWidth="19320" windowHeight="13215"/>
  </bookViews>
  <sheets>
    <sheet name="Calcul des impôts" sheetId="1" r:id="rId1"/>
    <sheet name="Part des paroisses" sheetId="21" r:id="rId2"/>
    <sheet name="Taux 2015-324- communaux" sheetId="4" r:id="rId3"/>
  </sheets>
  <definedNames>
    <definedName name="_xlnm._FilterDatabase" localSheetId="2" hidden="1">'Taux 2015-324- communaux'!$B$14:$V$14</definedName>
    <definedName name="_xlnm.Print_Area" localSheetId="0">'Calcul des impôts'!$A$1:$M$47</definedName>
    <definedName name="_xlnm.Print_Area" localSheetId="2">'Taux 2015-324- communaux'!$C$1:$D$163</definedName>
    <definedName name="_xlnm.Print_Titles" localSheetId="2">'Taux 2015-324- communaux'!$1:$7</definedName>
    <definedName name="QUERY1">'Taux 2015-324- communaux'!$D$10:$D$185</definedName>
  </definedNames>
  <calcPr calcId="162913"/>
</workbook>
</file>

<file path=xl/calcChain.xml><?xml version="1.0" encoding="utf-8"?>
<calcChain xmlns="http://schemas.openxmlformats.org/spreadsheetml/2006/main">
  <c r="L23" i="1" l="1"/>
  <c r="AO38" i="1"/>
  <c r="AO37" i="1"/>
  <c r="AO36" i="1"/>
  <c r="AO35" i="1"/>
  <c r="AO34" i="1"/>
  <c r="AO33" i="1"/>
  <c r="AO32" i="1"/>
  <c r="AO31" i="1"/>
  <c r="AO30" i="1"/>
  <c r="AO29" i="1"/>
  <c r="AO28" i="1"/>
  <c r="AO27" i="1"/>
  <c r="AO26" i="1"/>
  <c r="AO25" i="1"/>
  <c r="AO24" i="1"/>
  <c r="AO23" i="1"/>
  <c r="AO22" i="1"/>
  <c r="AE113" i="1"/>
  <c r="J23" i="1"/>
  <c r="V164" i="4"/>
  <c r="V163" i="4"/>
  <c r="V162" i="4"/>
  <c r="V161" i="4"/>
  <c r="V160" i="4"/>
  <c r="V159" i="4"/>
  <c r="V158" i="4"/>
  <c r="V157" i="4"/>
  <c r="V156" i="4"/>
  <c r="V155" i="4"/>
  <c r="V154" i="4"/>
  <c r="V153" i="4"/>
  <c r="V152" i="4"/>
  <c r="V151" i="4"/>
  <c r="V150"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3" i="4"/>
  <c r="V62" i="4"/>
  <c r="V61" i="4"/>
  <c r="V60" i="4"/>
  <c r="V59" i="4"/>
  <c r="V58" i="4"/>
  <c r="V64" i="4"/>
  <c r="V57" i="4"/>
  <c r="V56" i="4"/>
  <c r="V55" i="4"/>
  <c r="V54" i="4"/>
  <c r="V53" i="4"/>
  <c r="V25" i="4"/>
  <c r="V52" i="4"/>
  <c r="V51" i="4"/>
  <c r="V50" i="4"/>
  <c r="V49" i="4"/>
  <c r="V48" i="4"/>
  <c r="V47" i="4"/>
  <c r="V46" i="4"/>
  <c r="V45" i="4"/>
  <c r="V44" i="4"/>
  <c r="V43" i="4"/>
  <c r="V42" i="4"/>
  <c r="V41" i="4"/>
  <c r="V40" i="4"/>
  <c r="V39" i="4"/>
  <c r="V38" i="4"/>
  <c r="V37" i="4"/>
  <c r="V36" i="4"/>
  <c r="V35" i="4"/>
  <c r="V149" i="4"/>
  <c r="V34" i="4"/>
  <c r="V33" i="4"/>
  <c r="V32" i="4"/>
  <c r="V31" i="4"/>
  <c r="V30" i="4"/>
  <c r="V29" i="4"/>
  <c r="V28" i="4"/>
  <c r="V27" i="4"/>
  <c r="V26" i="4"/>
  <c r="V24" i="4"/>
  <c r="V104" i="4"/>
  <c r="V23" i="4"/>
  <c r="V22" i="4"/>
  <c r="V21" i="4"/>
  <c r="V20" i="4"/>
  <c r="V19" i="4"/>
  <c r="V18" i="4"/>
  <c r="V17" i="4"/>
  <c r="V16" i="4"/>
  <c r="V15" i="4"/>
  <c r="W9" i="1"/>
  <c r="I75" i="1" s="1"/>
  <c r="AC96" i="1"/>
  <c r="AC95" i="1" s="1"/>
  <c r="AC97" i="1"/>
  <c r="AJ94" i="1"/>
  <c r="W122" i="1"/>
  <c r="W123" i="1" s="1"/>
  <c r="V22" i="1"/>
  <c r="X22" i="1" s="1"/>
  <c r="AE22" i="1"/>
  <c r="V23" i="1"/>
  <c r="X23" i="1" s="1"/>
  <c r="AE23" i="1"/>
  <c r="V24" i="1"/>
  <c r="X24" i="1" s="1"/>
  <c r="AE24" i="1"/>
  <c r="V25" i="1"/>
  <c r="X25" i="1" s="1"/>
  <c r="AE25" i="1"/>
  <c r="V26" i="1"/>
  <c r="X26" i="1" s="1"/>
  <c r="AE26" i="1"/>
  <c r="V27" i="1"/>
  <c r="X27" i="1" s="1"/>
  <c r="AK27" i="1" s="1"/>
  <c r="AE27" i="1"/>
  <c r="V28" i="1"/>
  <c r="X28" i="1" s="1"/>
  <c r="AE28" i="1"/>
  <c r="V29" i="1"/>
  <c r="X29" i="1" s="1"/>
  <c r="AK29" i="1" s="1"/>
  <c r="AE29" i="1"/>
  <c r="V30" i="1"/>
  <c r="X30" i="1" s="1"/>
  <c r="AE30" i="1"/>
  <c r="V31" i="1"/>
  <c r="X31" i="1" s="1"/>
  <c r="AE31" i="1"/>
  <c r="V32" i="1"/>
  <c r="X32" i="1" s="1"/>
  <c r="AE32" i="1"/>
  <c r="V33" i="1"/>
  <c r="X33" i="1" s="1"/>
  <c r="AE33" i="1"/>
  <c r="V34" i="1"/>
  <c r="X34" i="1" s="1"/>
  <c r="AE34" i="1"/>
  <c r="V35" i="1"/>
  <c r="X35" i="1" s="1"/>
  <c r="AE35" i="1"/>
  <c r="V36" i="1"/>
  <c r="X36" i="1" s="1"/>
  <c r="AE36" i="1"/>
  <c r="V37" i="1"/>
  <c r="X37" i="1" s="1"/>
  <c r="AE37" i="1"/>
  <c r="V38" i="1"/>
  <c r="X38" i="1" s="1"/>
  <c r="AE38" i="1"/>
  <c r="AA22" i="1"/>
  <c r="AD22" i="1"/>
  <c r="AB24" i="1"/>
  <c r="AD24" i="1"/>
  <c r="AB26" i="1"/>
  <c r="AD26" i="1"/>
  <c r="AB27" i="1"/>
  <c r="AD28" i="1"/>
  <c r="AD30" i="1"/>
  <c r="AD33" i="1"/>
  <c r="AJ95" i="1"/>
  <c r="X100" i="1" s="1"/>
  <c r="X103" i="1" s="1"/>
  <c r="AC94" i="1"/>
  <c r="Z100" i="1"/>
  <c r="Z103" i="1" s="1"/>
  <c r="Z101" i="1"/>
  <c r="W24" i="1"/>
  <c r="W26" i="1"/>
  <c r="W28" i="1"/>
  <c r="W30" i="1"/>
  <c r="W34" i="1"/>
  <c r="W35" i="1"/>
  <c r="W38" i="1"/>
  <c r="Z24" i="1"/>
  <c r="AC24" i="1"/>
  <c r="AC25" i="1"/>
  <c r="Z26" i="1"/>
  <c r="AC26" i="1"/>
  <c r="AC27" i="1"/>
  <c r="Z28" i="1"/>
  <c r="AC28" i="1"/>
  <c r="AC29" i="1"/>
  <c r="Z30" i="1"/>
  <c r="AC30" i="1"/>
  <c r="AC31" i="1"/>
  <c r="Z32" i="1"/>
  <c r="AC32" i="1"/>
  <c r="AC33" i="1"/>
  <c r="Z34" i="1"/>
  <c r="AC34" i="1"/>
  <c r="Z36" i="1"/>
  <c r="Z38" i="1"/>
  <c r="AC38" i="1"/>
  <c r="Z117" i="1"/>
  <c r="AF120" i="1"/>
  <c r="Z120" i="1" s="1"/>
  <c r="Z122" i="1"/>
  <c r="W62" i="1"/>
  <c r="W61" i="1"/>
  <c r="Z112" i="1"/>
  <c r="Z132" i="1"/>
  <c r="Z128" i="1" s="1"/>
  <c r="H30" i="1"/>
  <c r="H16" i="1"/>
  <c r="W4" i="1"/>
  <c r="K40" i="1"/>
  <c r="M70" i="1"/>
  <c r="H70" i="1"/>
  <c r="M64" i="1"/>
  <c r="H64" i="1"/>
  <c r="M58" i="1"/>
  <c r="H58" i="1"/>
  <c r="M52" i="1"/>
  <c r="H52" i="1"/>
  <c r="M46" i="1"/>
  <c r="H46" i="1"/>
  <c r="M40" i="1"/>
  <c r="H40" i="1"/>
  <c r="M35" i="1"/>
  <c r="H35" i="1"/>
  <c r="M30" i="1"/>
  <c r="K30" i="1"/>
  <c r="Y128" i="1"/>
  <c r="H19" i="1"/>
  <c r="AK150" i="1"/>
  <c r="AE120" i="1"/>
  <c r="G77" i="1"/>
  <c r="E20" i="1" s="1"/>
  <c r="AF102" i="1"/>
  <c r="X112" i="1"/>
  <c r="AE39" i="1"/>
  <c r="I77" i="1"/>
  <c r="F70" i="1"/>
  <c r="K70" i="1"/>
  <c r="K58" i="1"/>
  <c r="F58" i="1"/>
  <c r="F40" i="1"/>
  <c r="K64" i="1"/>
  <c r="K52" i="1"/>
  <c r="K35" i="1"/>
  <c r="F52" i="1"/>
  <c r="F35" i="1"/>
  <c r="F64" i="1"/>
  <c r="K46" i="1"/>
  <c r="F46" i="1"/>
  <c r="F30" i="1"/>
  <c r="AC35" i="1" l="1"/>
  <c r="Z31" i="1"/>
  <c r="Z29" i="1"/>
  <c r="Z25" i="1"/>
  <c r="Z23" i="1"/>
  <c r="W29" i="1"/>
  <c r="W25" i="1"/>
  <c r="AC37" i="1"/>
  <c r="W33" i="1"/>
  <c r="AD23" i="1"/>
  <c r="Y25" i="1"/>
  <c r="AK30" i="1"/>
  <c r="AK28" i="1"/>
  <c r="AK26" i="1"/>
  <c r="AC23" i="1"/>
  <c r="Z33" i="1"/>
  <c r="Z27" i="1"/>
  <c r="Y33" i="1"/>
  <c r="AC36" i="1"/>
  <c r="W37" i="1"/>
  <c r="W31" i="1"/>
  <c r="W27" i="1"/>
  <c r="W23" i="1"/>
  <c r="AB28" i="1"/>
  <c r="AM28" i="1" s="1"/>
  <c r="AB25" i="1"/>
  <c r="AB23" i="1"/>
  <c r="Y24" i="1"/>
  <c r="G75" i="1"/>
  <c r="E21" i="1" s="1"/>
  <c r="AK38" i="1"/>
  <c r="AK37" i="1"/>
  <c r="AK36" i="1"/>
  <c r="AK35" i="1"/>
  <c r="AK34" i="1"/>
  <c r="AK33" i="1"/>
  <c r="AK32" i="1"/>
  <c r="AK31" i="1"/>
  <c r="AB22" i="1"/>
  <c r="AM22" i="1" s="1"/>
  <c r="Y22" i="1"/>
  <c r="AL22" i="1" s="1"/>
  <c r="Z22" i="1"/>
  <c r="AC22" i="1"/>
  <c r="W22" i="1"/>
  <c r="AK24" i="1"/>
  <c r="AD37" i="1"/>
  <c r="AD31" i="1"/>
  <c r="AB29" i="1"/>
  <c r="Y37" i="1"/>
  <c r="Y29" i="1"/>
  <c r="AK25" i="1"/>
  <c r="AK23" i="1"/>
  <c r="Z37" i="1"/>
  <c r="Z35" i="1"/>
  <c r="W36" i="1"/>
  <c r="W32" i="1"/>
  <c r="AD35" i="1"/>
  <c r="AD29" i="1"/>
  <c r="AM29" i="1" s="1"/>
  <c r="AD27" i="1"/>
  <c r="AM27" i="1" s="1"/>
  <c r="AD25" i="1"/>
  <c r="AM25" i="1" s="1"/>
  <c r="Y35" i="1"/>
  <c r="Y27" i="1"/>
  <c r="Y31" i="1"/>
  <c r="AC100" i="1"/>
  <c r="X101" i="1"/>
  <c r="X105" i="1" s="1"/>
  <c r="AD38" i="1"/>
  <c r="AD36" i="1"/>
  <c r="AD34" i="1"/>
  <c r="AD32" i="1"/>
  <c r="Y38" i="1"/>
  <c r="Y36" i="1"/>
  <c r="Y34" i="1"/>
  <c r="Y32" i="1"/>
  <c r="Y30" i="1"/>
  <c r="Y28" i="1"/>
  <c r="Y26" i="1"/>
  <c r="AD98" i="1"/>
  <c r="AF95" i="1" s="1"/>
  <c r="AA125" i="1"/>
  <c r="AB38" i="1"/>
  <c r="AB37" i="1"/>
  <c r="AB36" i="1"/>
  <c r="AB35" i="1"/>
  <c r="AB34" i="1"/>
  <c r="AB33" i="1"/>
  <c r="AM33" i="1" s="1"/>
  <c r="AB32" i="1"/>
  <c r="AB31" i="1"/>
  <c r="AB30" i="1"/>
  <c r="AM30" i="1" s="1"/>
  <c r="AA38" i="1"/>
  <c r="AA37" i="1"/>
  <c r="AA36" i="1"/>
  <c r="AA35" i="1"/>
  <c r="AA34" i="1"/>
  <c r="AA33" i="1"/>
  <c r="AL33" i="1" s="1"/>
  <c r="AA32" i="1"/>
  <c r="AA31" i="1"/>
  <c r="AL31" i="1" s="1"/>
  <c r="AA30" i="1"/>
  <c r="AA29" i="1"/>
  <c r="AA28" i="1"/>
  <c r="AA27" i="1"/>
  <c r="AA26" i="1"/>
  <c r="AA25" i="1"/>
  <c r="AA24" i="1"/>
  <c r="AL24" i="1" s="1"/>
  <c r="AA23" i="1"/>
  <c r="AM24" i="1"/>
  <c r="AM23" i="1"/>
  <c r="Y23" i="1"/>
  <c r="AM26" i="1"/>
  <c r="AK22" i="1"/>
  <c r="Z105" i="1"/>
  <c r="AL28" i="1" l="1"/>
  <c r="AL25" i="1"/>
  <c r="AM35" i="1"/>
  <c r="AL27" i="1"/>
  <c r="AL29" i="1"/>
  <c r="AM31" i="1"/>
  <c r="AL36" i="1"/>
  <c r="AL30" i="1"/>
  <c r="AL34" i="1"/>
  <c r="AL38" i="1"/>
  <c r="AM37" i="1"/>
  <c r="AL37" i="1"/>
  <c r="AK39" i="1"/>
  <c r="AL32" i="1"/>
  <c r="AL35" i="1"/>
  <c r="X106" i="1"/>
  <c r="C30" i="1" s="1"/>
  <c r="AE98" i="1"/>
  <c r="AL26" i="1"/>
  <c r="AM34" i="1"/>
  <c r="AM38" i="1"/>
  <c r="AM32" i="1"/>
  <c r="AM36" i="1"/>
  <c r="AE95" i="1"/>
  <c r="AL23" i="1"/>
  <c r="AF27" i="1"/>
  <c r="AF34" i="1"/>
  <c r="AF31" i="1"/>
  <c r="AF24" i="1"/>
  <c r="AH26" i="1"/>
  <c r="AF36" i="1"/>
  <c r="AF35" i="1"/>
  <c r="AH32" i="1"/>
  <c r="AH37" i="1"/>
  <c r="AH27" i="1"/>
  <c r="AH29" i="1" l="1"/>
  <c r="AH28" i="1"/>
  <c r="AF32" i="1"/>
  <c r="AF29" i="1"/>
  <c r="AH25" i="1"/>
  <c r="AH22" i="1"/>
  <c r="AF30" i="1"/>
  <c r="AH36" i="1"/>
  <c r="AF25" i="1"/>
  <c r="AF22" i="1"/>
  <c r="AM39" i="1"/>
  <c r="AL39" i="1"/>
  <c r="AH34" i="1"/>
  <c r="AF23" i="1"/>
  <c r="AF33" i="1"/>
  <c r="AH30" i="1"/>
  <c r="AH35" i="1"/>
  <c r="AF26" i="1"/>
  <c r="AH23" i="1"/>
  <c r="AH31" i="1"/>
  <c r="AF37" i="1"/>
  <c r="AH38" i="1"/>
  <c r="AF28" i="1"/>
  <c r="AH24" i="1"/>
  <c r="AF38" i="1"/>
  <c r="AH33" i="1"/>
  <c r="AN39" i="1" l="1"/>
  <c r="AH39" i="1"/>
  <c r="X108" i="1" s="1"/>
  <c r="AF39" i="1"/>
  <c r="X107" i="1" s="1"/>
  <c r="C31" i="1" l="1"/>
  <c r="C33" i="1" s="1"/>
  <c r="X109" i="1"/>
  <c r="AI104" i="1" s="1"/>
  <c r="AK128" i="1" l="1"/>
  <c r="AA126" i="1"/>
  <c r="AA127" i="1" s="1"/>
  <c r="AJ111" i="1"/>
  <c r="AJ110" i="1"/>
  <c r="AK116" i="1" s="1"/>
  <c r="AM110" i="1"/>
  <c r="AK114" i="1" l="1"/>
  <c r="AB126" i="1"/>
  <c r="AA128" i="1"/>
  <c r="AA129" i="1" s="1"/>
  <c r="AB129" i="1" s="1"/>
  <c r="AB130" i="1" s="1"/>
  <c r="AB131" i="1" l="1"/>
  <c r="AA132" i="1" s="1"/>
  <c r="AA133" i="1" s="1"/>
  <c r="AB133" i="1" s="1"/>
  <c r="AB135" i="1" s="1"/>
  <c r="AA136" i="1" s="1"/>
  <c r="AC129" i="1" s="1"/>
  <c r="AC130" i="1" s="1"/>
  <c r="AC131" i="1" s="1"/>
  <c r="AC132" i="1" s="1"/>
  <c r="AC133" i="1" l="1"/>
  <c r="AC134" i="1" s="1"/>
  <c r="AC135" i="1" s="1"/>
  <c r="AC136" i="1" s="1"/>
  <c r="AD129" i="1" s="1"/>
  <c r="AD130" i="1" s="1"/>
  <c r="AD131" i="1" s="1"/>
  <c r="AD132" i="1" s="1"/>
  <c r="AD134" i="1" s="1"/>
  <c r="AD135" i="1" s="1"/>
  <c r="AD136" i="1" s="1"/>
  <c r="AE129" i="1" l="1"/>
  <c r="AE130" i="1" l="1"/>
  <c r="AE131" i="1" s="1"/>
  <c r="AE132" i="1" s="1"/>
  <c r="AE134" i="1" s="1"/>
  <c r="AE135" i="1" s="1"/>
  <c r="AE136" i="1" s="1"/>
  <c r="AE138" i="1" s="1"/>
  <c r="AE139" i="1" s="1"/>
  <c r="AF129" i="1" s="1"/>
  <c r="AF130" i="1" s="1"/>
  <c r="AL114" i="1" s="1"/>
  <c r="Z115" i="1" l="1"/>
  <c r="Z118" i="1" s="1"/>
  <c r="Z124" i="1" s="1"/>
  <c r="AJ146" i="1"/>
  <c r="X115" i="1"/>
  <c r="AJ124" i="1"/>
  <c r="AK124" i="1" s="1"/>
  <c r="AK125" i="1" s="1"/>
  <c r="AL134" i="1"/>
  <c r="AJ137" i="1" s="1"/>
  <c r="AL138" i="1" l="1"/>
  <c r="AK137" i="1"/>
  <c r="AL126" i="1"/>
  <c r="AK126" i="1"/>
  <c r="AK127" i="1" s="1"/>
  <c r="AK129" i="1" s="1"/>
  <c r="AL124" i="1"/>
  <c r="X117" i="1"/>
  <c r="X118" i="1" s="1"/>
  <c r="X122" i="1" s="1"/>
  <c r="X124" i="1" s="1"/>
  <c r="AK148" i="1"/>
  <c r="AL146" i="1"/>
  <c r="AL147" i="1" s="1"/>
  <c r="AL148" i="1"/>
  <c r="AK146" i="1"/>
  <c r="AK147" i="1" s="1"/>
  <c r="AK149" i="1" l="1"/>
  <c r="AK151" i="1" s="1"/>
  <c r="AN148" i="1"/>
  <c r="AJ38" i="1"/>
  <c r="AJ37" i="1"/>
  <c r="AJ36" i="1"/>
  <c r="AJ35" i="1"/>
  <c r="AJ34" i="1"/>
  <c r="AJ33" i="1"/>
  <c r="AJ32" i="1"/>
  <c r="AJ31" i="1"/>
  <c r="AJ30" i="1"/>
  <c r="AJ29" i="1"/>
  <c r="AJ28" i="1"/>
  <c r="AJ27" i="1"/>
  <c r="AJ26" i="1"/>
  <c r="AJ25" i="1"/>
  <c r="AJ24" i="1"/>
  <c r="AJ23" i="1"/>
  <c r="AJ22" i="1"/>
  <c r="AI38" i="1"/>
  <c r="AI37" i="1"/>
  <c r="AI36" i="1"/>
  <c r="AI35" i="1"/>
  <c r="AI34" i="1"/>
  <c r="AI33" i="1"/>
  <c r="AI32" i="1"/>
  <c r="AI31" i="1"/>
  <c r="AI30" i="1"/>
  <c r="AI29" i="1"/>
  <c r="AI28" i="1"/>
  <c r="AI27" i="1"/>
  <c r="AI26" i="1"/>
  <c r="AI25" i="1"/>
  <c r="AI24" i="1"/>
  <c r="AI23" i="1"/>
  <c r="AI22" i="1"/>
  <c r="AL125" i="1"/>
  <c r="AN126" i="1" s="1"/>
  <c r="AL139" i="1"/>
  <c r="AL137" i="1"/>
  <c r="X125" i="1"/>
  <c r="C35" i="1" s="1"/>
  <c r="AI39" i="1" l="1"/>
  <c r="AJ39" i="1"/>
  <c r="C36" i="1" l="1"/>
  <c r="C38" i="1" s="1"/>
  <c r="X126" i="1"/>
  <c r="Y126" i="1" s="1"/>
  <c r="Y129" i="1" l="1"/>
  <c r="X128" i="1"/>
  <c r="X130" i="1" s="1"/>
  <c r="X132" i="1" s="1"/>
  <c r="X134" i="1" s="1"/>
  <c r="X135" i="1" s="1"/>
  <c r="C39" i="1" s="1"/>
  <c r="C40" i="1" s="1"/>
  <c r="C41" i="1" s="1"/>
</calcChain>
</file>

<file path=xl/sharedStrings.xml><?xml version="1.0" encoding="utf-8"?>
<sst xmlns="http://schemas.openxmlformats.org/spreadsheetml/2006/main" count="598" uniqueCount="324">
  <si>
    <t>Régimes fiscaux</t>
  </si>
  <si>
    <t>Genre de sociétés</t>
  </si>
  <si>
    <t>Associations, fondations et similaires</t>
  </si>
  <si>
    <t>SA, coop., Sàrl…</t>
  </si>
  <si>
    <t>Régime ordinaire</t>
  </si>
  <si>
    <t>PM</t>
  </si>
  <si>
    <t>Holding et domiciliées</t>
  </si>
  <si>
    <t>APM</t>
  </si>
  <si>
    <t>Fondations domiciliées</t>
  </si>
  <si>
    <t>25001 à 50000</t>
  </si>
  <si>
    <t>Minimum</t>
  </si>
  <si>
    <t>Plus de 50000</t>
  </si>
  <si>
    <t>Jusqu'à 100'000</t>
  </si>
  <si>
    <t>Bénéfice extr.</t>
  </si>
  <si>
    <t xml:space="preserve">Régime fiscal </t>
  </si>
  <si>
    <t>2. Détermination du bénéfice déterminant pour le taux :</t>
  </si>
  <si>
    <t>1. Détermination du capital imposable pro rata temporis</t>
  </si>
  <si>
    <t>Bénéfice extraordinaire</t>
  </si>
  <si>
    <t xml:space="preserve">7.a Impôts com. et par. </t>
  </si>
  <si>
    <t>Bénéfice com. réparti</t>
  </si>
  <si>
    <t>Bén. cath. rép.</t>
  </si>
  <si>
    <t>Bén. réf. réparti</t>
  </si>
  <si>
    <t>Formule générale :</t>
  </si>
  <si>
    <t>Bénéfice seuil = Bén. déterminant * (1 + Taux IFD + Taux bén. dét.*(1 + Fact. communale + Facteur cath. + Facteur réf))+Impôt sur le capital)</t>
  </si>
  <si>
    <t>Pour 25'000</t>
  </si>
  <si>
    <t>Pour 50'000</t>
  </si>
  <si>
    <t>Bén. dét =</t>
  </si>
  <si>
    <t>Fribourg / Freiburg</t>
  </si>
  <si>
    <t>Givisiez</t>
  </si>
  <si>
    <t>Granges-Paccot</t>
  </si>
  <si>
    <t>Grolley</t>
  </si>
  <si>
    <t>Hauterive</t>
  </si>
  <si>
    <t>Marly</t>
  </si>
  <si>
    <t>Matran</t>
  </si>
  <si>
    <t>Neyruz</t>
  </si>
  <si>
    <t>Noréaz</t>
  </si>
  <si>
    <t>Pierrafortscha</t>
  </si>
  <si>
    <t>Ponthaux</t>
  </si>
  <si>
    <t>Prez-vers-Noréaz</t>
  </si>
  <si>
    <t>Rossens</t>
  </si>
  <si>
    <t>Senèdes</t>
  </si>
  <si>
    <t>Treyvaux</t>
  </si>
  <si>
    <t>Villars-sur-Glâne</t>
  </si>
  <si>
    <t>Villarsel-sur-Marly</t>
  </si>
  <si>
    <t>Vuisternens-en-Ogoz</t>
  </si>
  <si>
    <t>Alterswil</t>
  </si>
  <si>
    <t>Bösingen</t>
  </si>
  <si>
    <t>Brünisried</t>
  </si>
  <si>
    <t>Düdingen</t>
  </si>
  <si>
    <t>Giffers</t>
  </si>
  <si>
    <t>Heitenried</t>
  </si>
  <si>
    <t>Oberschrot</t>
  </si>
  <si>
    <t>Plaffeien</t>
  </si>
  <si>
    <t>Plasselb</t>
  </si>
  <si>
    <t>Rechthalten</t>
  </si>
  <si>
    <t>St. Antoni</t>
  </si>
  <si>
    <t>St. Silvester</t>
  </si>
  <si>
    <t>Rueyres-les-Prés</t>
  </si>
  <si>
    <t>Russy</t>
  </si>
  <si>
    <t>St-Aubin</t>
  </si>
  <si>
    <t>Sévaz</t>
  </si>
  <si>
    <t>Surpierre</t>
  </si>
  <si>
    <t>Vallon</t>
  </si>
  <si>
    <t>Villeneuve</t>
  </si>
  <si>
    <t>Vuissens</t>
  </si>
  <si>
    <t>Attalens</t>
  </si>
  <si>
    <t>Bossonnens</t>
  </si>
  <si>
    <t>Châtel-St-Denis</t>
  </si>
  <si>
    <t>Granges</t>
  </si>
  <si>
    <t>Remaufens</t>
  </si>
  <si>
    <t>St-Martin</t>
  </si>
  <si>
    <t>Semsales</t>
  </si>
  <si>
    <t>No de la commune</t>
  </si>
  <si>
    <t>Haut-Intyamon</t>
  </si>
  <si>
    <t>Le Mouret</t>
  </si>
  <si>
    <t>Pont-en-Ogoz</t>
  </si>
  <si>
    <t>Le Glèbe</t>
  </si>
  <si>
    <t>Impôt sur le</t>
  </si>
  <si>
    <t>bénéfice</t>
  </si>
  <si>
    <t>capital</t>
  </si>
  <si>
    <t>Steuer auf dem</t>
  </si>
  <si>
    <t>Gewinn</t>
  </si>
  <si>
    <t>Kapital</t>
  </si>
  <si>
    <t>cath.</t>
  </si>
  <si>
    <t>réf.</t>
  </si>
  <si>
    <t xml:space="preserve">Commune de domicile </t>
  </si>
  <si>
    <t>Communes de répartition</t>
  </si>
  <si>
    <t>Part en %</t>
  </si>
  <si>
    <t>Galmiz</t>
  </si>
  <si>
    <t>Gempenach</t>
  </si>
  <si>
    <t>Greng</t>
  </si>
  <si>
    <t>Gurmels</t>
  </si>
  <si>
    <t>Haut-Vully</t>
  </si>
  <si>
    <t>Jeuss</t>
  </si>
  <si>
    <t>Kerzers</t>
  </si>
  <si>
    <t>Kleinbösingen</t>
  </si>
  <si>
    <t>Lurtigen</t>
  </si>
  <si>
    <t>Meyriez</t>
  </si>
  <si>
    <t>Misery-Courtion</t>
  </si>
  <si>
    <t>Muntelier</t>
  </si>
  <si>
    <t>Murten / Morat</t>
  </si>
  <si>
    <t>Salvenach</t>
  </si>
  <si>
    <t>Ulmiz</t>
  </si>
  <si>
    <t>Villarepos</t>
  </si>
  <si>
    <t>Wallenried</t>
  </si>
  <si>
    <t>Auboranges</t>
  </si>
  <si>
    <t>Billens-Hennens</t>
  </si>
  <si>
    <t>Chapelle</t>
  </si>
  <si>
    <t>Le Châtelard</t>
  </si>
  <si>
    <t>Châtonnaye</t>
  </si>
  <si>
    <t>Ecublens</t>
  </si>
  <si>
    <t>Grangettes</t>
  </si>
  <si>
    <t>Massonnens</t>
  </si>
  <si>
    <t>Mézières</t>
  </si>
  <si>
    <t>Romont</t>
  </si>
  <si>
    <t xml:space="preserve">Rue </t>
  </si>
  <si>
    <t>Siviriez</t>
  </si>
  <si>
    <t>Ursy</t>
  </si>
  <si>
    <t>Ried bei Kerzers</t>
  </si>
  <si>
    <t>Verney</t>
  </si>
  <si>
    <t>IC</t>
  </si>
  <si>
    <t>Régime fiscal de la société :</t>
  </si>
  <si>
    <t>Ordinaire</t>
  </si>
  <si>
    <t>Holding</t>
  </si>
  <si>
    <t>Domiciliée</t>
  </si>
  <si>
    <r>
      <t>1. Capital imposable total (</t>
    </r>
    <r>
      <rPr>
        <b/>
        <sz val="10"/>
        <color indexed="10"/>
        <rFont val="Arial"/>
        <family val="2"/>
      </rPr>
      <t>au canton</t>
    </r>
    <r>
      <rPr>
        <b/>
        <sz val="10"/>
        <rFont val="Arial"/>
        <family val="2"/>
      </rPr>
      <t>)</t>
    </r>
  </si>
  <si>
    <r>
      <t>2. Bénéfice imposable total (</t>
    </r>
    <r>
      <rPr>
        <b/>
        <sz val="10"/>
        <color indexed="10"/>
        <rFont val="Arial"/>
        <family val="2"/>
      </rPr>
      <t>avant les pertes</t>
    </r>
    <r>
      <rPr>
        <b/>
        <sz val="10"/>
        <rFont val="Arial"/>
        <family val="2"/>
      </rPr>
      <t xml:space="preserve"> et sans les </t>
    </r>
    <r>
      <rPr>
        <b/>
        <sz val="10"/>
        <color indexed="10"/>
        <rFont val="Arial"/>
        <family val="2"/>
      </rPr>
      <t>bénéf. extr. des assoc.</t>
    </r>
    <r>
      <rPr>
        <b/>
        <sz val="10"/>
        <rFont val="Arial"/>
        <family val="2"/>
      </rPr>
      <t>)</t>
    </r>
  </si>
  <si>
    <t>Bénéfice imposable IFD</t>
  </si>
  <si>
    <t>T18-23</t>
  </si>
  <si>
    <t>Personnes morales</t>
  </si>
  <si>
    <t>Impôt sur le bénéfice</t>
  </si>
  <si>
    <t>et le capital, en % de</t>
  </si>
  <si>
    <t>l'impôt cantonal de base</t>
  </si>
  <si>
    <t>Juristische Personen</t>
  </si>
  <si>
    <t>Steuer auf dem Gewinn</t>
  </si>
  <si>
    <t>und Kapital, in % der</t>
  </si>
  <si>
    <t>einfachen Kantonssteuer</t>
  </si>
  <si>
    <t>Arconciel</t>
  </si>
  <si>
    <t>Autafond</t>
  </si>
  <si>
    <t>Autigny</t>
  </si>
  <si>
    <t>Avry</t>
  </si>
  <si>
    <t>Belfaux</t>
  </si>
  <si>
    <t>La Brillaz</t>
  </si>
  <si>
    <t>Chénens</t>
  </si>
  <si>
    <t>Chésopelloz</t>
  </si>
  <si>
    <t>Corminboeuf</t>
  </si>
  <si>
    <t>Corpataux-Magnedens</t>
  </si>
  <si>
    <t>Corserey</t>
  </si>
  <si>
    <t>Cottens</t>
  </si>
  <si>
    <t>Ependes</t>
  </si>
  <si>
    <t>Farvagny</t>
  </si>
  <si>
    <t>Ferpicloz</t>
  </si>
  <si>
    <t>8. Impôts paroissiaux sur le capital</t>
  </si>
  <si>
    <t>9. Impôts totaux sur le capital</t>
  </si>
  <si>
    <t>Facteur d'augmentation de l'impôt min. sur capital</t>
  </si>
  <si>
    <t>5.a Recher des minima</t>
  </si>
  <si>
    <t>1. Détermination du barème pour l'impôt sur le bénéfice</t>
  </si>
  <si>
    <t>1.a Détermination des minima</t>
  </si>
  <si>
    <t>Barème de l'impôt sur le bénéfice</t>
  </si>
  <si>
    <t>25000 - 50000</t>
  </si>
  <si>
    <t>Canton</t>
  </si>
  <si>
    <t>3. Taux cantonal effectif</t>
  </si>
  <si>
    <t>3. Bénéfice imposable au canton (si différent de 2) (ex. préciput des stés dom.)</t>
  </si>
  <si>
    <t>5. Calcul du bénéfice extraordinaire</t>
  </si>
  <si>
    <t>Cote com. bén.</t>
  </si>
  <si>
    <t>St. Ursen</t>
  </si>
  <si>
    <t>Schmitten</t>
  </si>
  <si>
    <t>Tafers</t>
  </si>
  <si>
    <t>Tentlingen</t>
  </si>
  <si>
    <t>Ueberstorf</t>
  </si>
  <si>
    <t>Wünnewil-Flamatt</t>
  </si>
  <si>
    <t>Zumholz</t>
  </si>
  <si>
    <t>Botterens</t>
  </si>
  <si>
    <t>Broc</t>
  </si>
  <si>
    <t>Bulle</t>
  </si>
  <si>
    <t>Cerniat</t>
  </si>
  <si>
    <t>Charmey</t>
  </si>
  <si>
    <t>Châtel-sur-Montsalvens</t>
  </si>
  <si>
    <t>Corbières</t>
  </si>
  <si>
    <t>Crésuz</t>
  </si>
  <si>
    <t>Echarlens</t>
  </si>
  <si>
    <t>Grandvillard</t>
  </si>
  <si>
    <t>Gruyères</t>
  </si>
  <si>
    <t>Hauteville</t>
  </si>
  <si>
    <t>Jaun</t>
  </si>
  <si>
    <t>Marsens</t>
  </si>
  <si>
    <t>Morlon</t>
  </si>
  <si>
    <t>Le Pâquier</t>
  </si>
  <si>
    <t>Pont-la-Ville</t>
  </si>
  <si>
    <t>Riaz</t>
  </si>
  <si>
    <t>La Roche</t>
  </si>
  <si>
    <t>Sorens</t>
  </si>
  <si>
    <t>Vaulruz</t>
  </si>
  <si>
    <t>Villarvolard</t>
  </si>
  <si>
    <t>Vuadens</t>
  </si>
  <si>
    <t>Barberêche</t>
  </si>
  <si>
    <t>Bas-Vully</t>
  </si>
  <si>
    <t>Büchslen</t>
  </si>
  <si>
    <t>Courgevaux</t>
  </si>
  <si>
    <t>Courlevon</t>
  </si>
  <si>
    <t>Courtepin</t>
  </si>
  <si>
    <t>Cressier</t>
  </si>
  <si>
    <t>Fräschels</t>
  </si>
  <si>
    <t>8. Taux de l'impôt fédéral direct sur le bénéfice</t>
  </si>
  <si>
    <t>9. Impôt fédéral direct sur le bénéfice</t>
  </si>
  <si>
    <t>10. Réduction</t>
  </si>
  <si>
    <t>Total de l'impôt cantonal, communal et par. sur le bénéfice</t>
  </si>
  <si>
    <t>Genre de société :</t>
  </si>
  <si>
    <t>La Verrerie</t>
  </si>
  <si>
    <t>Montet (Gl.)</t>
  </si>
  <si>
    <t>Sâles (Gr.)</t>
  </si>
  <si>
    <t>Torny</t>
  </si>
  <si>
    <t>Bas-Intyamon</t>
  </si>
  <si>
    <t>Delley-Portalban</t>
  </si>
  <si>
    <t>La Folliaz</t>
  </si>
  <si>
    <t>Bénéfice - impôt sur le capital</t>
  </si>
  <si>
    <t>(1+ Taux IFD + Taux Bén. dét(1+Fact. com. + Fact. cath. + Fact. réf)</t>
  </si>
  <si>
    <t>Villaz-St-Pierre</t>
  </si>
  <si>
    <t>Villorsonnens</t>
  </si>
  <si>
    <t>Vuarmarens</t>
  </si>
  <si>
    <t>Vuisternens-devant-Romont</t>
  </si>
  <si>
    <t>Bussy</t>
  </si>
  <si>
    <t>Châbles</t>
  </si>
  <si>
    <t>Châtillon</t>
  </si>
  <si>
    <t>Cheiry</t>
  </si>
  <si>
    <t>Cheyres</t>
  </si>
  <si>
    <t>Cugy</t>
  </si>
  <si>
    <t>Domdidier</t>
  </si>
  <si>
    <t>Dompierre</t>
  </si>
  <si>
    <t>Estavayer-le-Lac</t>
  </si>
  <si>
    <t>Fétigny</t>
  </si>
  <si>
    <t>Font</t>
  </si>
  <si>
    <t>Gletterens</t>
  </si>
  <si>
    <t>Léchelles</t>
  </si>
  <si>
    <t>Lully</t>
  </si>
  <si>
    <t>Ménières</t>
  </si>
  <si>
    <t>Montagny</t>
  </si>
  <si>
    <t>Morens</t>
  </si>
  <si>
    <t>Murist</t>
  </si>
  <si>
    <t>Nuvilly</t>
  </si>
  <si>
    <t>Prévondavaux</t>
  </si>
  <si>
    <t>Calcul du bénéfice déterminant lorsque le bénéfice cantonal est différent du bénéfice IFD</t>
  </si>
  <si>
    <t>Détermination du taux cantonal global :</t>
  </si>
  <si>
    <t>Bénéf. imposable canton</t>
  </si>
  <si>
    <t>Part cantonale à prendre en compte</t>
  </si>
  <si>
    <r>
      <t>Impôts communaux et paroissiaux sur le bénéfice</t>
    </r>
    <r>
      <rPr>
        <vertAlign val="superscript"/>
        <sz val="10"/>
        <color indexed="8"/>
        <rFont val="Arial"/>
        <family val="2"/>
      </rPr>
      <t>1</t>
    </r>
  </si>
  <si>
    <t>4. a) Impôt sur le bénéfice</t>
  </si>
  <si>
    <t>Impôts prévisionnels calculés</t>
  </si>
  <si>
    <t>Contrôle des pourcentages affectés aux communes pour le capital imposable</t>
  </si>
  <si>
    <t>(Indiquer le montant avant impôts)</t>
  </si>
  <si>
    <t>Capital</t>
  </si>
  <si>
    <t>Bénéfice</t>
  </si>
  <si>
    <t>Contrôle des pourcentages affectés aux communes pour le bénéfice avant impôt</t>
  </si>
  <si>
    <t>Différence :</t>
  </si>
  <si>
    <t>Différence</t>
  </si>
  <si>
    <t>Taux des communes sélectionnés</t>
  </si>
  <si>
    <t>Communes</t>
  </si>
  <si>
    <t>Paroisses</t>
  </si>
  <si>
    <t>Catholiques</t>
  </si>
  <si>
    <t>Réformées</t>
  </si>
  <si>
    <t>No d'ident.</t>
  </si>
  <si>
    <t>Commune de domicile</t>
  </si>
  <si>
    <t>Communes de répart.</t>
  </si>
  <si>
    <t>Barèmes</t>
  </si>
  <si>
    <t>IFD</t>
  </si>
  <si>
    <t>1 à 25000</t>
  </si>
  <si>
    <t>Coefficient cantonal sur le capital</t>
  </si>
  <si>
    <t>Coefficient cantonal sur le bénéfice</t>
  </si>
  <si>
    <t>Calcul des montants seuils des barèmes avant impôts</t>
  </si>
  <si>
    <t>Calcul du bénéfice déterminant après impôt dans les cas ordinaires</t>
  </si>
  <si>
    <t>2. Taux applicable après impôts</t>
  </si>
  <si>
    <t>4. Bénéfice imposable après impôts</t>
  </si>
  <si>
    <t>Seul du minimum APM de 5000 :</t>
  </si>
  <si>
    <t>Les Montets</t>
  </si>
  <si>
    <t>Le Flon</t>
  </si>
  <si>
    <t>Chapelle (Gl.)</t>
  </si>
  <si>
    <t>La Sonnaz</t>
  </si>
  <si>
    <t>Bas-Intymon</t>
  </si>
  <si>
    <t>Bénéfice imposable au canton</t>
  </si>
  <si>
    <t>3. Détermination du régime fiscal et du barème</t>
  </si>
  <si>
    <t>5. Recherche des taux</t>
  </si>
  <si>
    <t>4. Capital plus grand que 500'000'000</t>
  </si>
  <si>
    <t>6. Calcul de l'impôt cantonal sur le capital</t>
  </si>
  <si>
    <t>7. Impôt communal sur le capital</t>
  </si>
  <si>
    <t>No de réf.</t>
  </si>
  <si>
    <t>Capital réparti</t>
  </si>
  <si>
    <t>% cath.</t>
  </si>
  <si>
    <t>% réf.</t>
  </si>
  <si>
    <t>Cote com. cap.</t>
  </si>
  <si>
    <t>Cote par. cap.</t>
  </si>
  <si>
    <t>4. Pour les associations et fondations : bénéfice extraordinaire</t>
  </si>
  <si>
    <t>6. Pertes déductibles (canton)</t>
  </si>
  <si>
    <t>7. Réductions de tous genres, en %</t>
  </si>
  <si>
    <t>8. Si l'assujettissement ne correspond pas à une année, indiquer le nombre de jours</t>
  </si>
  <si>
    <t>Cote par. cath. bén.</t>
  </si>
  <si>
    <t>Impôts communaux et paroissiaux sur le capital</t>
  </si>
  <si>
    <t>Total de l'impôt sur le capital</t>
  </si>
  <si>
    <t>Impôt fédéral direct sur le bénéfice</t>
  </si>
  <si>
    <t>6. Prise en compte des réductions</t>
  </si>
  <si>
    <t>7. Impôt cantonal total sur le bénéfice</t>
  </si>
  <si>
    <r>
      <t xml:space="preserve">5. Pertes décuctibles </t>
    </r>
    <r>
      <rPr>
        <sz val="10"/>
        <rFont val="Arial"/>
        <family val="2"/>
      </rPr>
      <t>(selon point H de la déclaration)</t>
    </r>
  </si>
  <si>
    <t>Impôt cantonal sur le capital (y c. coefficient cantonal)</t>
  </si>
  <si>
    <r>
      <t>Impôt cantonal sur le bénéfice</t>
    </r>
    <r>
      <rPr>
        <vertAlign val="superscript"/>
        <sz val="10"/>
        <color indexed="8"/>
        <rFont val="Arial"/>
        <family val="2"/>
      </rPr>
      <t xml:space="preserve">1 </t>
    </r>
    <r>
      <rPr>
        <sz val="10"/>
        <color indexed="8"/>
        <rFont val="Arial"/>
        <family val="2"/>
      </rPr>
      <t>(y c. coeff. cantonal)</t>
    </r>
  </si>
  <si>
    <t>Calcul de la prévision d'impôts compte tenu de la charge fiscale</t>
  </si>
  <si>
    <t>Mise à jour : 13/05/09 - go</t>
  </si>
  <si>
    <r>
      <t>Provision à constituer</t>
    </r>
    <r>
      <rPr>
        <b/>
        <vertAlign val="superscript"/>
        <sz val="11"/>
        <color indexed="10"/>
        <rFont val="Arial"/>
        <family val="2"/>
      </rPr>
      <t>2</t>
    </r>
  </si>
  <si>
    <r>
      <t xml:space="preserve">Mode d'emploi rapide </t>
    </r>
    <r>
      <rPr>
        <b/>
        <sz val="11"/>
        <rFont val="Arial"/>
        <family val="2"/>
      </rPr>
      <t xml:space="preserve">:
</t>
    </r>
    <r>
      <rPr>
        <sz val="11"/>
        <rFont val="Arial"/>
        <family val="2"/>
      </rPr>
      <t>1. Indiquer le genre et le régime fiscal de la
    société
2. Complétez, selon besoins, les chiffres 1
    à 8 (</t>
    </r>
    <r>
      <rPr>
        <b/>
        <sz val="11"/>
        <rFont val="Arial"/>
        <family val="2"/>
      </rPr>
      <t>tous les chiffres sont à saisir en
    positif</t>
    </r>
    <r>
      <rPr>
        <sz val="11"/>
        <rFont val="Arial"/>
        <family val="2"/>
      </rPr>
      <t>)
3. Indiquez la commune de domicile et les
    communes de répartition.Complétez les
    parts en %.</t>
    </r>
  </si>
  <si>
    <r>
      <t>Brèves explications :</t>
    </r>
    <r>
      <rPr>
        <sz val="11"/>
        <rFont val="Arial"/>
        <family val="2"/>
      </rPr>
      <t xml:space="preserve">
Le présent module vous permet de calculer l'impôt à provisionner sur la base du béné-
fice avant impôt.
Il n'est valable que pour les impôts dûs dans le canton de Fribourg et pour l'IFD.
De légers écarts peuvent intervenir. Ils restent toutefois insignifiants.
La provision indiquée n'est qu'une informa-
tion qu'il convient de vérifier. En aucun cas on ne pourra considérer qu'il s'agit d'une justification fiscale.</t>
    </r>
  </si>
  <si>
    <t>(réductions pour participations, allégements, ...)</t>
  </si>
  <si>
    <t>bénéf réparti</t>
  </si>
  <si>
    <t>—</t>
  </si>
  <si>
    <r>
      <t xml:space="preserve">2 </t>
    </r>
    <r>
      <rPr>
        <sz val="10"/>
        <rFont val="Arial"/>
        <family val="2"/>
      </rPr>
      <t>Les acomptes payés et passés en charge doivent être déduits</t>
    </r>
  </si>
  <si>
    <r>
      <t xml:space="preserve">1 </t>
    </r>
    <r>
      <rPr>
        <sz val="10"/>
        <rFont val="Arial"/>
        <family val="2"/>
      </rPr>
      <t>L'impôt sur un éventuel bénéfice extraordinaire est inclus.</t>
    </r>
  </si>
  <si>
    <t>Val-de-Charmey</t>
  </si>
  <si>
    <t>Mise à jour 07.04.2016/am/am</t>
  </si>
  <si>
    <t>Gibloux</t>
  </si>
  <si>
    <t>Mont-Vully</t>
  </si>
  <si>
    <t>Belmont-Broye</t>
  </si>
  <si>
    <t>Vernay</t>
  </si>
  <si>
    <t>Coefficients des impôts communaux, état au 1er janvier 2016</t>
  </si>
  <si>
    <t>Gemeindesteuerfüsse, Stand am 1.  Januar 2016</t>
  </si>
  <si>
    <t>Cheyres-Châbles</t>
  </si>
  <si>
    <t>Calcul de l'impôt sur la base des résultats avant impôt (état au 1.1.2017)</t>
  </si>
  <si>
    <t>Coefficient cantonal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</si>
</sst>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43" formatCode="_ * #,##0.00_ ;_ * \-#,##0.00_ ;_ * &quot;-&quot;??_ ;_ @_ "/>
    <numFmt numFmtId="164" formatCode="_ &quot;SFr.&quot;\ * #,##0.00_ ;_ &quot;SFr.&quot;\ * \-#,##0.00_ ;_ &quot;SFr.&quot;\ * &quot;-&quot;??_ ;_ @_ "/>
    <numFmt numFmtId="165" formatCode="0.000"/>
    <numFmt numFmtId="166" formatCode="0.0%"/>
    <numFmt numFmtId="167" formatCode="0.000%"/>
    <numFmt numFmtId="168" formatCode="_ * #,##0.000_ ;_ * \-#,##0.000_ ;_ * &quot;-&quot;???_ ;_ @_ "/>
    <numFmt numFmtId="169" formatCode="_ * #,##0_ ;_ * \-#,##0_ ;_ * &quot;-&quot;???_ ;_ @_ "/>
    <numFmt numFmtId="170" formatCode="_ * #,##0.000_ ;_ * \-#,##0.000_ ;_ * &quot;-&quot;??_ ;_ @_ "/>
    <numFmt numFmtId="171" formatCode="_ * #,##0.0000_ ;_ * \-#,##0.0000_ ;_ * &quot;-&quot;??_ ;_ @_ "/>
    <numFmt numFmtId="172" formatCode="0.0000%"/>
    <numFmt numFmtId="173" formatCode="0.00000%"/>
    <numFmt numFmtId="174" formatCode="0.000000%"/>
  </numFmts>
  <fonts count="50">
    <font>
      <sz val="10"/>
      <name val="Arial"/>
    </font>
    <font>
      <sz val="10"/>
      <name val="Arial"/>
      <family val="2"/>
    </font>
    <font>
      <sz val="10"/>
      <name val="Helvetica-Narrow"/>
      <family val="2"/>
    </font>
    <font>
      <b/>
      <sz val="10"/>
      <name val="Arial Narrow"/>
      <family val="2"/>
    </font>
    <font>
      <sz val="7"/>
      <name val="Helvetica-Narrow"/>
      <family val="2"/>
    </font>
    <font>
      <sz val="10"/>
      <name val="Arial Narrow"/>
      <family val="2"/>
    </font>
    <font>
      <b/>
      <sz val="8.5"/>
      <color indexed="8"/>
      <name val="Arial Narrow"/>
      <family val="2"/>
    </font>
    <font>
      <sz val="7"/>
      <name val="Arial Narrow"/>
      <family val="2"/>
    </font>
    <font>
      <sz val="8.5"/>
      <name val="Helvetica-Narrow"/>
      <family val="2"/>
    </font>
    <font>
      <b/>
      <sz val="8.5"/>
      <name val="Helvetica-Narrow"/>
      <family val="2"/>
    </font>
    <font>
      <sz val="8.5"/>
      <name val="Arial Narrow"/>
      <family val="2"/>
    </font>
    <font>
      <b/>
      <sz val="8.5"/>
      <name val="Arial Narrow"/>
      <family val="2"/>
    </font>
    <font>
      <sz val="7"/>
      <name val="Helv"/>
    </font>
    <font>
      <sz val="8"/>
      <name val="Arial"/>
      <family val="2"/>
    </font>
    <font>
      <sz val="8.5"/>
      <name val="Helvetica-Narrow"/>
      <family val="2"/>
    </font>
    <font>
      <b/>
      <sz val="10"/>
      <color indexed="10"/>
      <name val="Arial"/>
      <family val="2"/>
    </font>
    <font>
      <b/>
      <sz val="10"/>
      <name val="Arial"/>
      <family val="2"/>
    </font>
    <font>
      <b/>
      <sz val="16"/>
      <name val="Arial"/>
      <family val="2"/>
    </font>
    <font>
      <b/>
      <u/>
      <sz val="10"/>
      <name val="Arial"/>
      <family val="2"/>
    </font>
    <font>
      <sz val="10"/>
      <name val="Arial"/>
      <family val="2"/>
    </font>
    <font>
      <sz val="9"/>
      <name val="Arial"/>
      <family val="2"/>
    </font>
    <font>
      <b/>
      <sz val="12"/>
      <color indexed="8"/>
      <name val="Arial"/>
      <family val="2"/>
    </font>
    <font>
      <sz val="10"/>
      <color indexed="10"/>
      <name val="Arial"/>
      <family val="2"/>
    </font>
    <font>
      <vertAlign val="superscript"/>
      <sz val="10"/>
      <color indexed="8"/>
      <name val="Arial"/>
      <family val="2"/>
    </font>
    <font>
      <sz val="11"/>
      <name val="Arial"/>
      <family val="2"/>
    </font>
    <font>
      <sz val="10"/>
      <color indexed="9"/>
      <name val="Arial"/>
      <family val="2"/>
    </font>
    <font>
      <sz val="10"/>
      <color indexed="9"/>
      <name val="Arial"/>
      <family val="2"/>
    </font>
    <font>
      <b/>
      <sz val="10"/>
      <name val="Arial"/>
      <family val="2"/>
    </font>
    <font>
      <sz val="10"/>
      <name val="Arial"/>
      <family val="2"/>
    </font>
    <font>
      <b/>
      <sz val="9"/>
      <color indexed="10"/>
      <name val="Arial"/>
      <family val="2"/>
    </font>
    <font>
      <sz val="9"/>
      <name val="Helvetica-Narrow"/>
      <family val="2"/>
    </font>
    <font>
      <sz val="9"/>
      <name val="Arial Narrow"/>
      <family val="2"/>
    </font>
    <font>
      <sz val="9"/>
      <name val="Helvetica-Narrow"/>
      <family val="2"/>
    </font>
    <font>
      <b/>
      <sz val="11"/>
      <name val="Arial"/>
      <family val="2"/>
    </font>
    <font>
      <i/>
      <sz val="8.5"/>
      <name val="Arial Narrow"/>
      <family val="2"/>
    </font>
    <font>
      <sz val="8.5"/>
      <name val="Arial Narrow"/>
      <family val="2"/>
    </font>
    <font>
      <sz val="10"/>
      <name val="Arial"/>
      <family val="2"/>
    </font>
    <font>
      <b/>
      <u/>
      <sz val="11"/>
      <name val="Arial"/>
      <family val="2"/>
    </font>
    <font>
      <sz val="10"/>
      <color indexed="8"/>
      <name val="Arial"/>
      <family val="2"/>
    </font>
    <font>
      <i/>
      <sz val="10"/>
      <color indexed="8"/>
      <name val="Arial"/>
      <family val="2"/>
    </font>
    <font>
      <sz val="9"/>
      <color indexed="8"/>
      <name val="Arial"/>
      <family val="2"/>
    </font>
    <font>
      <sz val="12"/>
      <name val="Arial"/>
      <family val="2"/>
    </font>
    <font>
      <b/>
      <sz val="11"/>
      <color indexed="10"/>
      <name val="Arial"/>
      <family val="2"/>
    </font>
    <font>
      <b/>
      <vertAlign val="superscript"/>
      <sz val="11"/>
      <color indexed="10"/>
      <name val="Arial"/>
      <family val="2"/>
    </font>
    <font>
      <b/>
      <sz val="8"/>
      <name val="Arial"/>
      <family val="2"/>
    </font>
    <font>
      <sz val="16"/>
      <name val="Arial"/>
      <family val="2"/>
    </font>
    <font>
      <sz val="13"/>
      <name val="Arial"/>
      <family val="2"/>
    </font>
    <font>
      <sz val="8"/>
      <color indexed="17"/>
      <name val="Arial"/>
      <family val="2"/>
    </font>
    <font>
      <b/>
      <sz val="8"/>
      <color indexed="10"/>
      <name val="Arial"/>
      <family val="2"/>
    </font>
    <font>
      <vertAlign val="superscript"/>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E0D9F2"/>
        <bgColor indexed="64"/>
      </patternFill>
    </fill>
    <fill>
      <patternFill patternType="solid">
        <fgColor rgb="FFC1ADE5"/>
        <bgColor indexed="64"/>
      </patternFill>
    </fill>
    <fill>
      <patternFill patternType="solid">
        <fgColor rgb="FFC1ADE5"/>
        <bgColor indexed="2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ck">
        <color indexed="64"/>
      </top>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s>
  <cellStyleXfs count="6">
    <xf numFmtId="0" fontId="0" fillId="0" borderId="0">
      <alignment horizontal="left" vertical="center" wrapText="1"/>
    </xf>
    <xf numFmtId="43" fontId="1" fillId="0" borderId="0" applyFont="0" applyFill="0" applyBorder="0" applyAlignment="0" applyProtection="0"/>
    <xf numFmtId="164" fontId="1" fillId="0" borderId="0" applyFont="0" applyFill="0" applyBorder="0" applyAlignment="0" applyProtection="0"/>
    <xf numFmtId="0" fontId="20" fillId="0" borderId="0"/>
    <xf numFmtId="0" fontId="2" fillId="0" borderId="0"/>
    <xf numFmtId="9" fontId="1" fillId="0" borderId="0" applyFont="0" applyFill="0" applyBorder="0" applyAlignment="0" applyProtection="0"/>
  </cellStyleXfs>
  <cellXfs count="300">
    <xf numFmtId="0" fontId="0" fillId="0" borderId="0" xfId="0">
      <alignment horizontal="left" vertical="center" wrapText="1"/>
    </xf>
    <xf numFmtId="0" fontId="3" fillId="0" borderId="0" xfId="4" applyNumberFormat="1" applyFont="1" applyAlignment="1"/>
    <xf numFmtId="0" fontId="4" fillId="0" borderId="0" xfId="4" applyNumberFormat="1" applyFont="1" applyAlignment="1"/>
    <xf numFmtId="0" fontId="5" fillId="0" borderId="0" xfId="4" applyNumberFormat="1" applyFont="1" applyAlignment="1"/>
    <xf numFmtId="3" fontId="6" fillId="0" borderId="0" xfId="4" applyNumberFormat="1" applyFont="1" applyAlignment="1"/>
    <xf numFmtId="0" fontId="7" fillId="0" borderId="0" xfId="4" applyNumberFormat="1" applyFont="1" applyAlignment="1"/>
    <xf numFmtId="0" fontId="2" fillId="0" borderId="0" xfId="4" applyAlignment="1"/>
    <xf numFmtId="0" fontId="8" fillId="0" borderId="0" xfId="4" applyNumberFormat="1" applyFont="1" applyAlignment="1"/>
    <xf numFmtId="0" fontId="2" fillId="0" borderId="0" xfId="4" applyNumberFormat="1" applyAlignment="1"/>
    <xf numFmtId="0" fontId="9" fillId="0" borderId="0" xfId="4" applyNumberFormat="1" applyFont="1" applyAlignment="1"/>
    <xf numFmtId="0" fontId="10" fillId="0" borderId="0" xfId="4" applyNumberFormat="1" applyFont="1" applyAlignment="1"/>
    <xf numFmtId="0" fontId="11" fillId="0" borderId="0" xfId="4" applyNumberFormat="1" applyFont="1" applyAlignment="1"/>
    <xf numFmtId="0" fontId="10" fillId="0" borderId="0" xfId="4" applyNumberFormat="1" applyFont="1" applyFill="1" applyAlignment="1"/>
    <xf numFmtId="0" fontId="2" fillId="0" borderId="0" xfId="4" applyFont="1" applyAlignment="1"/>
    <xf numFmtId="0" fontId="4" fillId="0" borderId="0" xfId="4" applyNumberFormat="1" applyFont="1" applyAlignment="1">
      <alignment horizontal="left"/>
    </xf>
    <xf numFmtId="0" fontId="12" fillId="0" borderId="0" xfId="4" applyFont="1" applyBorder="1" applyAlignment="1"/>
    <xf numFmtId="0" fontId="9" fillId="0" borderId="0" xfId="4" applyNumberFormat="1" applyFont="1" applyAlignment="1">
      <alignment horizontal="left"/>
    </xf>
    <xf numFmtId="0" fontId="8" fillId="0" borderId="0" xfId="4" applyFont="1" applyAlignment="1"/>
    <xf numFmtId="11" fontId="8" fillId="0" borderId="0" xfId="4" applyNumberFormat="1" applyFont="1" applyAlignment="1"/>
    <xf numFmtId="0" fontId="14" fillId="0" borderId="0" xfId="4" applyNumberFormat="1" applyFont="1" applyAlignment="1"/>
    <xf numFmtId="0" fontId="10" fillId="0" borderId="0" xfId="4" applyNumberFormat="1" applyFont="1" applyFill="1" applyBorder="1" applyAlignment="1"/>
    <xf numFmtId="0" fontId="0" fillId="0" borderId="0" xfId="0" applyFill="1">
      <alignment horizontal="left" vertical="center" wrapText="1"/>
    </xf>
    <xf numFmtId="0" fontId="16" fillId="0" borderId="0" xfId="0" applyFont="1">
      <alignment horizontal="left" vertical="center" wrapText="1"/>
    </xf>
    <xf numFmtId="167" fontId="0" fillId="0" borderId="0" xfId="0" applyNumberFormat="1">
      <alignment horizontal="left" vertical="center" wrapText="1"/>
    </xf>
    <xf numFmtId="0" fontId="0" fillId="0" borderId="1" xfId="0" applyBorder="1">
      <alignment horizontal="left" vertical="center" wrapText="1"/>
    </xf>
    <xf numFmtId="0" fontId="0" fillId="0" borderId="2" xfId="0" applyBorder="1">
      <alignment horizontal="left" vertical="center" wrapText="1"/>
    </xf>
    <xf numFmtId="0" fontId="0" fillId="0" borderId="3" xfId="0" applyBorder="1">
      <alignment horizontal="left" vertical="center" wrapText="1"/>
    </xf>
    <xf numFmtId="0" fontId="0" fillId="0" borderId="0" xfId="0" applyBorder="1">
      <alignment horizontal="left" vertical="center" wrapText="1"/>
    </xf>
    <xf numFmtId="0" fontId="0" fillId="0" borderId="0" xfId="0" applyFill="1" applyBorder="1">
      <alignment horizontal="left" vertical="center" wrapText="1"/>
    </xf>
    <xf numFmtId="0" fontId="0" fillId="0" borderId="4" xfId="0" applyBorder="1">
      <alignment horizontal="left" vertical="center" wrapText="1"/>
    </xf>
    <xf numFmtId="0" fontId="0" fillId="0" borderId="5" xfId="0" applyBorder="1">
      <alignment horizontal="left" vertical="center" wrapText="1"/>
    </xf>
    <xf numFmtId="0" fontId="0" fillId="0" borderId="6" xfId="0" applyBorder="1">
      <alignment horizontal="left" vertical="center" wrapText="1"/>
    </xf>
    <xf numFmtId="10" fontId="0" fillId="0" borderId="4" xfId="5" applyNumberFormat="1" applyFont="1" applyBorder="1"/>
    <xf numFmtId="167" fontId="0" fillId="0" borderId="4" xfId="5" applyNumberFormat="1" applyFont="1" applyBorder="1"/>
    <xf numFmtId="0" fontId="0" fillId="0" borderId="7" xfId="0" applyBorder="1">
      <alignment horizontal="left" vertical="center" wrapText="1"/>
    </xf>
    <xf numFmtId="0" fontId="0" fillId="0" borderId="8" xfId="0" applyBorder="1">
      <alignment horizontal="left" vertical="center" wrapText="1"/>
    </xf>
    <xf numFmtId="0" fontId="0" fillId="0" borderId="9" xfId="0" applyBorder="1">
      <alignment horizontal="left" vertical="center" wrapText="1"/>
    </xf>
    <xf numFmtId="0" fontId="0" fillId="0" borderId="10" xfId="0" applyBorder="1">
      <alignment horizontal="left" vertical="center" wrapText="1"/>
    </xf>
    <xf numFmtId="0" fontId="0" fillId="0" borderId="11" xfId="0" applyBorder="1">
      <alignment horizontal="left" vertical="center" wrapText="1"/>
    </xf>
    <xf numFmtId="0" fontId="0" fillId="0" borderId="12" xfId="0" applyBorder="1">
      <alignment horizontal="left" vertical="center" wrapText="1"/>
    </xf>
    <xf numFmtId="0" fontId="0" fillId="0" borderId="13" xfId="0" applyBorder="1">
      <alignment horizontal="left" vertical="center" wrapText="1"/>
    </xf>
    <xf numFmtId="0" fontId="0" fillId="0" borderId="11" xfId="0" applyBorder="1" applyAlignment="1"/>
    <xf numFmtId="10" fontId="0" fillId="0" borderId="0" xfId="5" applyNumberFormat="1" applyFont="1" applyBorder="1"/>
    <xf numFmtId="10" fontId="0" fillId="0" borderId="7" xfId="5" applyNumberFormat="1" applyFont="1" applyBorder="1"/>
    <xf numFmtId="10" fontId="0" fillId="0" borderId="14" xfId="5" applyNumberFormat="1" applyFont="1" applyBorder="1"/>
    <xf numFmtId="0" fontId="0" fillId="0" borderId="0" xfId="0" applyAlignment="1">
      <alignment horizontal="left"/>
    </xf>
    <xf numFmtId="43" fontId="0" fillId="0" borderId="0" xfId="0" applyNumberFormat="1">
      <alignment horizontal="left" vertical="center" wrapText="1"/>
    </xf>
    <xf numFmtId="167" fontId="0" fillId="0" borderId="0" xfId="5" applyNumberFormat="1" applyFont="1"/>
    <xf numFmtId="0" fontId="0" fillId="0" borderId="8" xfId="0" applyBorder="1" applyAlignment="1"/>
    <xf numFmtId="0" fontId="0" fillId="0" borderId="0" xfId="0" applyAlignment="1"/>
    <xf numFmtId="0" fontId="0" fillId="0" borderId="12" xfId="0" applyBorder="1" applyAlignment="1"/>
    <xf numFmtId="0" fontId="0" fillId="0" borderId="0" xfId="0" applyBorder="1" applyAlignment="1"/>
    <xf numFmtId="0" fontId="0" fillId="0" borderId="4" xfId="0" applyBorder="1" applyAlignment="1"/>
    <xf numFmtId="0" fontId="0" fillId="0" borderId="3" xfId="0" applyBorder="1" applyAlignment="1"/>
    <xf numFmtId="10" fontId="0" fillId="0" borderId="4" xfId="5" applyNumberFormat="1" applyFont="1" applyBorder="1" applyAlignment="1"/>
    <xf numFmtId="10" fontId="0" fillId="0" borderId="0" xfId="0" applyNumberFormat="1" applyBorder="1" applyAlignment="1"/>
    <xf numFmtId="43" fontId="0" fillId="0" borderId="4" xfId="1" applyFont="1" applyBorder="1" applyAlignment="1"/>
    <xf numFmtId="10" fontId="0" fillId="0" borderId="0" xfId="5" applyNumberFormat="1" applyFont="1" applyBorder="1" applyAlignment="1"/>
    <xf numFmtId="0" fontId="17" fillId="0" borderId="0" xfId="0" applyFont="1" applyAlignment="1"/>
    <xf numFmtId="167" fontId="0" fillId="0" borderId="0" xfId="0" applyNumberFormat="1" applyAlignment="1"/>
    <xf numFmtId="0" fontId="19" fillId="0" borderId="0" xfId="0" applyFont="1" applyAlignment="1"/>
    <xf numFmtId="0" fontId="16" fillId="0" borderId="0" xfId="0" applyFont="1" applyAlignment="1"/>
    <xf numFmtId="0" fontId="15" fillId="0" borderId="0" xfId="0" applyFont="1" applyFill="1" applyBorder="1" applyAlignment="1"/>
    <xf numFmtId="167" fontId="0" fillId="0" borderId="0" xfId="5" applyNumberFormat="1" applyFont="1" applyAlignment="1"/>
    <xf numFmtId="170" fontId="0" fillId="0" borderId="0" xfId="1" applyNumberFormat="1" applyFont="1" applyAlignment="1"/>
    <xf numFmtId="43" fontId="0" fillId="0" borderId="0" xfId="0" applyNumberFormat="1" applyAlignment="1"/>
    <xf numFmtId="0" fontId="0" fillId="0" borderId="0" xfId="0" applyFill="1" applyAlignment="1">
      <alignment horizontal="left"/>
    </xf>
    <xf numFmtId="43" fontId="0" fillId="0" borderId="0" xfId="0" applyNumberFormat="1" applyAlignment="1">
      <alignment horizontal="left"/>
    </xf>
    <xf numFmtId="43" fontId="0" fillId="0" borderId="0" xfId="1" applyFont="1" applyAlignment="1">
      <alignment horizontal="left"/>
    </xf>
    <xf numFmtId="43" fontId="0" fillId="0" borderId="0" xfId="1" applyNumberFormat="1" applyFont="1" applyAlignment="1">
      <alignment horizontal="left"/>
    </xf>
    <xf numFmtId="10" fontId="0" fillId="0" borderId="0" xfId="5" applyNumberFormat="1" applyFont="1" applyAlignment="1">
      <alignment horizontal="left"/>
    </xf>
    <xf numFmtId="43" fontId="0" fillId="2" borderId="0" xfId="1" applyFont="1" applyFill="1" applyAlignment="1">
      <alignment horizontal="left"/>
    </xf>
    <xf numFmtId="43" fontId="0" fillId="3" borderId="0" xfId="5" applyNumberFormat="1" applyFont="1" applyFill="1" applyAlignment="1">
      <alignment horizontal="left"/>
    </xf>
    <xf numFmtId="43" fontId="0" fillId="0" borderId="0" xfId="5" applyNumberFormat="1" applyFont="1" applyAlignment="1">
      <alignment horizontal="left"/>
    </xf>
    <xf numFmtId="167" fontId="0" fillId="0" borderId="0" xfId="5" applyNumberFormat="1" applyFont="1" applyAlignment="1">
      <alignment horizontal="left"/>
    </xf>
    <xf numFmtId="167" fontId="0" fillId="0" borderId="0" xfId="0" applyNumberFormat="1" applyAlignment="1">
      <alignment horizontal="left"/>
    </xf>
    <xf numFmtId="167" fontId="1" fillId="0" borderId="0" xfId="5" applyNumberFormat="1" applyFont="1" applyAlignment="1">
      <alignment horizontal="left"/>
    </xf>
    <xf numFmtId="168" fontId="0" fillId="0" borderId="0" xfId="0" applyNumberFormat="1" applyAlignment="1">
      <alignment horizontal="left"/>
    </xf>
    <xf numFmtId="43" fontId="16" fillId="0" borderId="0" xfId="1" applyFont="1" applyFill="1" applyBorder="1" applyAlignment="1">
      <alignment horizontal="left"/>
    </xf>
    <xf numFmtId="166" fontId="0" fillId="0" borderId="0" xfId="5" applyNumberFormat="1" applyFont="1" applyAlignment="1">
      <alignment horizontal="left"/>
    </xf>
    <xf numFmtId="0" fontId="0" fillId="0" borderId="12" xfId="0" applyBorder="1" applyAlignment="1">
      <alignment horizontal="left"/>
    </xf>
    <xf numFmtId="0" fontId="0" fillId="0" borderId="0" xfId="0" applyBorder="1" applyAlignment="1">
      <alignment horizontal="left"/>
    </xf>
    <xf numFmtId="167" fontId="0" fillId="0" borderId="4" xfId="5" applyNumberFormat="1"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0" fillId="0" borderId="4" xfId="5" applyNumberFormat="1" applyFont="1" applyBorder="1" applyAlignment="1">
      <alignment horizontal="left"/>
    </xf>
    <xf numFmtId="167" fontId="0" fillId="0" borderId="0" xfId="1" applyNumberFormat="1" applyFont="1" applyAlignment="1">
      <alignment horizontal="left"/>
    </xf>
    <xf numFmtId="10" fontId="0" fillId="0" borderId="0" xfId="0" applyNumberFormat="1" applyAlignment="1">
      <alignment horizontal="left"/>
    </xf>
    <xf numFmtId="43" fontId="0" fillId="0" borderId="0" xfId="1" applyFont="1" applyAlignment="1"/>
    <xf numFmtId="43" fontId="0" fillId="4" borderId="0" xfId="0" applyNumberFormat="1" applyFill="1" applyAlignment="1">
      <alignment horizontal="left"/>
    </xf>
    <xf numFmtId="0" fontId="17" fillId="0" borderId="0" xfId="0" applyFont="1" applyAlignment="1" applyProtection="1"/>
    <xf numFmtId="43" fontId="0" fillId="0" borderId="0" xfId="0" applyNumberFormat="1" applyFill="1">
      <alignment horizontal="left" vertical="center" wrapText="1"/>
    </xf>
    <xf numFmtId="172" fontId="0" fillId="0" borderId="0" xfId="5" applyNumberFormat="1" applyFont="1" applyAlignment="1">
      <alignment horizontal="left"/>
    </xf>
    <xf numFmtId="0" fontId="0" fillId="0" borderId="0" xfId="0" applyAlignment="1">
      <alignment horizontal="right"/>
    </xf>
    <xf numFmtId="0" fontId="0" fillId="0" borderId="0" xfId="0" applyAlignment="1">
      <alignment horizontal="right" wrapText="1"/>
    </xf>
    <xf numFmtId="9" fontId="0" fillId="0" borderId="0" xfId="0" applyNumberFormat="1" applyAlignment="1">
      <alignment horizontal="right"/>
    </xf>
    <xf numFmtId="172" fontId="0" fillId="4" borderId="0" xfId="5" applyNumberFormat="1" applyFont="1" applyFill="1" applyAlignment="1">
      <alignment horizontal="left"/>
    </xf>
    <xf numFmtId="0" fontId="0" fillId="2" borderId="0" xfId="0" applyFill="1" applyAlignment="1">
      <alignment horizontal="left"/>
    </xf>
    <xf numFmtId="0" fontId="0" fillId="2" borderId="0" xfId="0" applyFill="1" applyAlignment="1"/>
    <xf numFmtId="170" fontId="0" fillId="2" borderId="0" xfId="1" applyNumberFormat="1" applyFont="1" applyFill="1" applyAlignment="1"/>
    <xf numFmtId="171" fontId="0" fillId="2" borderId="0" xfId="0" applyNumberFormat="1" applyFill="1" applyAlignment="1"/>
    <xf numFmtId="0" fontId="0" fillId="2" borderId="1" xfId="0" applyFill="1" applyBorder="1" applyAlignment="1">
      <alignment horizontal="left"/>
    </xf>
    <xf numFmtId="0" fontId="0" fillId="2" borderId="2" xfId="0" applyFill="1" applyBorder="1" applyAlignment="1">
      <alignment horizontal="left"/>
    </xf>
    <xf numFmtId="0" fontId="0" fillId="2" borderId="14" xfId="0" applyFill="1" applyBorder="1" applyAlignment="1">
      <alignment horizontal="left"/>
    </xf>
    <xf numFmtId="0" fontId="0" fillId="2" borderId="3" xfId="0" applyFill="1" applyBorder="1" applyAlignment="1">
      <alignment horizontal="left"/>
    </xf>
    <xf numFmtId="0" fontId="0" fillId="2" borderId="0" xfId="0" applyFill="1" applyBorder="1" applyAlignment="1">
      <alignment horizontal="left"/>
    </xf>
    <xf numFmtId="0" fontId="0" fillId="2" borderId="4" xfId="0" applyFill="1" applyBorder="1" applyAlignment="1">
      <alignment horizontal="left"/>
    </xf>
    <xf numFmtId="43" fontId="0" fillId="2" borderId="0" xfId="0" applyNumberForma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174" fontId="0" fillId="0" borderId="0" xfId="5" applyNumberFormat="1" applyFont="1" applyAlignment="1">
      <alignment horizontal="left"/>
    </xf>
    <xf numFmtId="170" fontId="0" fillId="0" borderId="0" xfId="1" applyNumberFormat="1" applyFont="1" applyAlignment="1">
      <alignment horizontal="left"/>
    </xf>
    <xf numFmtId="0" fontId="18" fillId="2" borderId="1" xfId="0" applyFont="1" applyFill="1" applyBorder="1" applyAlignment="1">
      <alignment horizontal="left"/>
    </xf>
    <xf numFmtId="0" fontId="18" fillId="0" borderId="0" xfId="0" applyFont="1" applyAlignment="1">
      <alignment horizontal="left"/>
    </xf>
    <xf numFmtId="0" fontId="0" fillId="2" borderId="0" xfId="0" applyFill="1" applyBorder="1" applyAlignment="1">
      <alignment horizontal="right"/>
    </xf>
    <xf numFmtId="0" fontId="0" fillId="2" borderId="15" xfId="0" applyFill="1" applyBorder="1" applyAlignment="1">
      <alignment horizontal="left"/>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43" fontId="0" fillId="2" borderId="4" xfId="0" applyNumberFormat="1" applyFill="1" applyBorder="1" applyAlignment="1">
      <alignment horizontal="left"/>
    </xf>
    <xf numFmtId="43" fontId="0" fillId="2" borderId="6" xfId="0" applyNumberFormat="1" applyFill="1" applyBorder="1" applyAlignment="1">
      <alignment horizontal="left"/>
    </xf>
    <xf numFmtId="0" fontId="18" fillId="2" borderId="2" xfId="0" applyFont="1" applyFill="1" applyBorder="1" applyAlignment="1">
      <alignment horizontal="left"/>
    </xf>
    <xf numFmtId="43" fontId="0" fillId="0" borderId="0" xfId="0" applyNumberFormat="1" applyFill="1" applyAlignment="1">
      <alignment horizontal="left"/>
    </xf>
    <xf numFmtId="167" fontId="0" fillId="0" borderId="0" xfId="5" applyNumberFormat="1" applyFont="1" applyFill="1" applyAlignment="1">
      <alignment horizontal="left"/>
    </xf>
    <xf numFmtId="43" fontId="0" fillId="0" borderId="0" xfId="1" applyFont="1" applyFill="1" applyAlignment="1">
      <alignment horizontal="left"/>
    </xf>
    <xf numFmtId="167" fontId="0" fillId="0" borderId="0" xfId="5" applyNumberFormat="1" applyFont="1" applyBorder="1" applyAlignment="1">
      <alignment horizontal="left" vertical="center" wrapText="1"/>
    </xf>
    <xf numFmtId="173" fontId="0" fillId="0" borderId="0" xfId="5" applyNumberFormat="1" applyFont="1" applyAlignment="1">
      <alignment horizontal="left"/>
    </xf>
    <xf numFmtId="165" fontId="0" fillId="0" borderId="0" xfId="0" applyNumberFormat="1" applyAlignment="1">
      <alignment horizontal="left"/>
    </xf>
    <xf numFmtId="43" fontId="0" fillId="2" borderId="0" xfId="0" applyNumberFormat="1" applyFill="1" applyBorder="1" applyAlignment="1"/>
    <xf numFmtId="4" fontId="0" fillId="0" borderId="0" xfId="0" applyNumberFormat="1" applyAlignment="1">
      <alignment horizontal="left"/>
    </xf>
    <xf numFmtId="0" fontId="26" fillId="0" borderId="0" xfId="0" applyFont="1">
      <alignment horizontal="left" vertical="center" wrapText="1"/>
    </xf>
    <xf numFmtId="0" fontId="26" fillId="0" borderId="0" xfId="0" applyFont="1" applyFill="1">
      <alignment horizontal="left" vertical="center" wrapText="1"/>
    </xf>
    <xf numFmtId="0" fontId="26" fillId="0" borderId="0" xfId="0" applyFont="1" applyAlignment="1"/>
    <xf numFmtId="0" fontId="1" fillId="0" borderId="0" xfId="0" applyFont="1">
      <alignment horizontal="left" vertical="center" wrapText="1"/>
    </xf>
    <xf numFmtId="167" fontId="1" fillId="0" borderId="2" xfId="5" applyNumberFormat="1" applyFont="1" applyFill="1" applyBorder="1" applyAlignment="1"/>
    <xf numFmtId="0" fontId="1" fillId="0" borderId="2" xfId="0" applyFont="1" applyBorder="1" applyAlignment="1"/>
    <xf numFmtId="0" fontId="28" fillId="0" borderId="0" xfId="0" applyFont="1" applyFill="1" applyBorder="1" applyAlignment="1"/>
    <xf numFmtId="0" fontId="28" fillId="0" borderId="3" xfId="0" applyFont="1" applyBorder="1" applyAlignment="1"/>
    <xf numFmtId="0" fontId="28" fillId="0" borderId="0" xfId="0" applyFont="1" applyBorder="1" applyAlignment="1"/>
    <xf numFmtId="0" fontId="28" fillId="0" borderId="6" xfId="0" applyFont="1" applyFill="1" applyBorder="1" applyAlignment="1"/>
    <xf numFmtId="0" fontId="28" fillId="0" borderId="5" xfId="0" applyFont="1" applyBorder="1" applyAlignment="1"/>
    <xf numFmtId="0" fontId="28" fillId="0" borderId="6" xfId="0" applyFont="1" applyBorder="1" applyAlignment="1"/>
    <xf numFmtId="0" fontId="28" fillId="0" borderId="0" xfId="0" applyFont="1" applyAlignment="1"/>
    <xf numFmtId="0" fontId="29" fillId="0" borderId="0" xfId="0" applyFont="1" applyAlignment="1"/>
    <xf numFmtId="0" fontId="20" fillId="0" borderId="0" xfId="0" applyFont="1" applyAlignment="1">
      <alignment horizontal="right" vertical="center" wrapText="1"/>
    </xf>
    <xf numFmtId="0" fontId="20" fillId="0" borderId="0" xfId="0" applyFont="1">
      <alignment horizontal="left" vertical="center" wrapText="1"/>
    </xf>
    <xf numFmtId="0" fontId="30" fillId="0" borderId="0" xfId="4" applyNumberFormat="1" applyFont="1" applyAlignment="1"/>
    <xf numFmtId="0" fontId="31" fillId="0" borderId="0" xfId="4" applyNumberFormat="1" applyFont="1" applyAlignment="1"/>
    <xf numFmtId="168" fontId="20" fillId="0" borderId="17" xfId="3" applyNumberFormat="1" applyFont="1" applyBorder="1" applyAlignment="1">
      <alignment horizontal="center" vertical="center"/>
    </xf>
    <xf numFmtId="0" fontId="32" fillId="0" borderId="0" xfId="4" applyNumberFormat="1" applyFont="1" applyAlignment="1"/>
    <xf numFmtId="0" fontId="31" fillId="0" borderId="0" xfId="4" applyNumberFormat="1" applyFont="1" applyFill="1" applyAlignment="1"/>
    <xf numFmtId="43" fontId="3" fillId="0" borderId="0" xfId="1" applyFont="1" applyAlignment="1"/>
    <xf numFmtId="43" fontId="10" fillId="0" borderId="0" xfId="1" applyFont="1" applyAlignment="1">
      <alignment horizontal="right"/>
    </xf>
    <xf numFmtId="43" fontId="5" fillId="0" borderId="0" xfId="1" applyFont="1" applyAlignment="1"/>
    <xf numFmtId="43" fontId="7" fillId="0" borderId="0" xfId="1" applyFont="1" applyAlignment="1"/>
    <xf numFmtId="43" fontId="10" fillId="0" borderId="0" xfId="1" applyFont="1" applyBorder="1" applyAlignment="1"/>
    <xf numFmtId="43" fontId="10" fillId="0" borderId="0" xfId="1" applyFont="1" applyAlignment="1"/>
    <xf numFmtId="43" fontId="10" fillId="0" borderId="0" xfId="1" applyFont="1" applyFill="1" applyAlignment="1">
      <alignment horizontal="right"/>
    </xf>
    <xf numFmtId="43" fontId="8" fillId="0" borderId="0" xfId="1" applyFont="1" applyAlignment="1">
      <alignment horizontal="right"/>
    </xf>
    <xf numFmtId="43" fontId="4" fillId="0" borderId="0" xfId="1" applyFont="1" applyAlignment="1">
      <alignment horizontal="right"/>
    </xf>
    <xf numFmtId="43" fontId="4" fillId="0" borderId="0" xfId="1" applyFont="1" applyBorder="1" applyAlignment="1">
      <alignment horizontal="right"/>
    </xf>
    <xf numFmtId="43" fontId="8" fillId="0" borderId="0" xfId="1" applyFont="1" applyAlignment="1">
      <alignment horizontal="left"/>
    </xf>
    <xf numFmtId="43" fontId="8" fillId="0" borderId="0" xfId="1" applyFont="1" applyAlignment="1"/>
    <xf numFmtId="0" fontId="20" fillId="0" borderId="17" xfId="0" applyFont="1" applyBorder="1">
      <alignment horizontal="left" vertical="center" wrapText="1"/>
    </xf>
    <xf numFmtId="168" fontId="20" fillId="0" borderId="0" xfId="3" applyNumberFormat="1" applyFont="1" applyBorder="1" applyAlignment="1">
      <alignment horizontal="center" vertical="center"/>
    </xf>
    <xf numFmtId="0" fontId="20" fillId="0" borderId="17" xfId="0" applyFont="1" applyBorder="1" applyAlignment="1">
      <alignment vertical="center" wrapText="1"/>
    </xf>
    <xf numFmtId="168" fontId="20" fillId="0" borderId="17" xfId="3" applyNumberFormat="1" applyFont="1" applyFill="1" applyBorder="1" applyAlignment="1">
      <alignment horizontal="center" vertical="center"/>
    </xf>
    <xf numFmtId="168" fontId="20" fillId="0" borderId="18" xfId="3" applyNumberFormat="1" applyFont="1" applyBorder="1" applyAlignment="1">
      <alignment horizontal="center" vertical="center"/>
    </xf>
    <xf numFmtId="168" fontId="20" fillId="0" borderId="19" xfId="3" applyNumberFormat="1" applyFont="1" applyBorder="1" applyAlignment="1">
      <alignment horizontal="center" vertical="center"/>
    </xf>
    <xf numFmtId="0" fontId="0" fillId="0" borderId="0" xfId="0" applyAlignment="1">
      <alignment horizontal="left" vertical="center"/>
    </xf>
    <xf numFmtId="9" fontId="0" fillId="0" borderId="0" xfId="0" applyNumberFormat="1">
      <alignment horizontal="left" vertical="center" wrapText="1"/>
    </xf>
    <xf numFmtId="0" fontId="22" fillId="0" borderId="0" xfId="0" applyFont="1" applyBorder="1" applyAlignment="1">
      <alignment horizontal="right"/>
    </xf>
    <xf numFmtId="0" fontId="0" fillId="0" borderId="0" xfId="0" applyFill="1" applyBorder="1" applyAlignment="1">
      <alignment horizontal="left"/>
    </xf>
    <xf numFmtId="43" fontId="34" fillId="0" borderId="0" xfId="1" applyFont="1" applyAlignment="1">
      <alignment horizontal="right"/>
    </xf>
    <xf numFmtId="43" fontId="34" fillId="0" borderId="0" xfId="1" applyFont="1" applyBorder="1" applyAlignment="1"/>
    <xf numFmtId="43" fontId="34" fillId="0" borderId="0" xfId="1" applyFont="1" applyAlignment="1"/>
    <xf numFmtId="43" fontId="35" fillId="0" borderId="0" xfId="1" applyFont="1" applyFill="1" applyAlignment="1">
      <alignment horizontal="right"/>
    </xf>
    <xf numFmtId="0" fontId="0" fillId="0" borderId="0" xfId="0" applyAlignment="1">
      <alignment horizontal="right" vertical="center" wrapText="1"/>
    </xf>
    <xf numFmtId="0" fontId="17" fillId="0" borderId="0" xfId="0" applyFont="1" applyAlignment="1">
      <alignment horizontal="right"/>
    </xf>
    <xf numFmtId="0" fontId="17" fillId="0" borderId="0" xfId="0" applyFont="1" applyAlignment="1" applyProtection="1">
      <alignment horizontal="right"/>
    </xf>
    <xf numFmtId="0" fontId="19" fillId="0" borderId="0" xfId="0" applyFont="1" applyAlignment="1">
      <alignment horizontal="right"/>
    </xf>
    <xf numFmtId="0" fontId="26" fillId="0" borderId="0" xfId="0" applyFont="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xf>
    <xf numFmtId="0" fontId="28" fillId="0" borderId="0" xfId="0" applyFont="1" applyBorder="1" applyAlignment="1">
      <alignment horizontal="right"/>
    </xf>
    <xf numFmtId="0" fontId="28" fillId="0" borderId="6" xfId="0" applyFont="1" applyBorder="1" applyAlignment="1">
      <alignment horizontal="right"/>
    </xf>
    <xf numFmtId="0" fontId="26" fillId="0" borderId="0" xfId="0" applyFont="1" applyAlignment="1">
      <alignment horizontal="right"/>
    </xf>
    <xf numFmtId="0" fontId="25" fillId="0" borderId="0" xfId="0" applyFont="1" applyAlignment="1" applyProtection="1">
      <alignment horizontal="right"/>
      <protection locked="0"/>
    </xf>
    <xf numFmtId="0" fontId="25" fillId="0" borderId="0" xfId="0" applyFont="1" applyFill="1" applyAlignment="1" applyProtection="1">
      <alignment horizontal="right"/>
      <protection locked="0"/>
    </xf>
    <xf numFmtId="0" fontId="16" fillId="0" borderId="0" xfId="1" applyNumberFormat="1" applyFont="1" applyFill="1" applyBorder="1" applyAlignment="1" applyProtection="1">
      <alignment horizontal="right"/>
      <protection locked="0"/>
    </xf>
    <xf numFmtId="0" fontId="26" fillId="0" borderId="0" xfId="0" applyFont="1" applyAlignment="1" applyProtection="1">
      <alignment horizontal="right"/>
      <protection locked="0"/>
    </xf>
    <xf numFmtId="43" fontId="0" fillId="0" borderId="0" xfId="0" applyNumberFormat="1" applyAlignment="1">
      <alignment horizontal="right" vertical="center" wrapText="1"/>
    </xf>
    <xf numFmtId="0" fontId="26" fillId="0" borderId="0" xfId="0" applyFont="1" applyAlignment="1" applyProtection="1">
      <alignment horizontal="right" vertical="center" wrapText="1"/>
      <protection locked="0"/>
    </xf>
    <xf numFmtId="0" fontId="0" fillId="0" borderId="0" xfId="0" applyAlignment="1" applyProtection="1">
      <alignment horizontal="right" vertical="center" wrapText="1"/>
    </xf>
    <xf numFmtId="167" fontId="27" fillId="5" borderId="11" xfId="5" applyNumberFormat="1" applyFont="1" applyFill="1" applyBorder="1" applyAlignment="1">
      <alignment horizontal="right"/>
    </xf>
    <xf numFmtId="0" fontId="0" fillId="0" borderId="0" xfId="0" applyFill="1" applyAlignment="1">
      <alignment horizontal="right" vertical="center" wrapText="1"/>
    </xf>
    <xf numFmtId="167" fontId="1" fillId="0" borderId="14" xfId="0" applyNumberFormat="1" applyFont="1" applyBorder="1" applyAlignment="1">
      <alignment horizontal="right"/>
    </xf>
    <xf numFmtId="0" fontId="28" fillId="0" borderId="4" xfId="0" applyFont="1" applyBorder="1" applyAlignment="1">
      <alignment horizontal="right"/>
    </xf>
    <xf numFmtId="167" fontId="28" fillId="0" borderId="7" xfId="0" applyNumberFormat="1" applyFont="1" applyBorder="1" applyAlignment="1">
      <alignment horizontal="right"/>
    </xf>
    <xf numFmtId="0" fontId="28" fillId="0" borderId="0" xfId="0" applyFont="1" applyAlignment="1">
      <alignment horizontal="right"/>
    </xf>
    <xf numFmtId="168" fontId="20" fillId="0" borderId="11" xfId="0" applyNumberFormat="1" applyFont="1" applyFill="1" applyBorder="1" applyProtection="1">
      <alignment horizontal="left" vertical="center" wrapText="1"/>
    </xf>
    <xf numFmtId="0" fontId="0" fillId="0" borderId="0" xfId="0" applyFill="1" applyAlignment="1">
      <alignment horizontal="right"/>
    </xf>
    <xf numFmtId="169" fontId="20" fillId="0" borderId="11" xfId="0" applyNumberFormat="1" applyFont="1" applyFill="1" applyBorder="1" applyProtection="1">
      <alignment horizontal="left" vertical="center" wrapText="1"/>
    </xf>
    <xf numFmtId="0" fontId="41" fillId="0" borderId="0" xfId="0" quotePrefix="1" applyFont="1" applyAlignment="1">
      <alignment wrapText="1"/>
    </xf>
    <xf numFmtId="0" fontId="0" fillId="0" borderId="0" xfId="0" applyFill="1" applyAlignment="1" applyProtection="1">
      <alignment horizontal="right" vertical="center" wrapText="1"/>
    </xf>
    <xf numFmtId="43" fontId="8" fillId="0" borderId="0" xfId="4" applyNumberFormat="1" applyFont="1" applyAlignment="1"/>
    <xf numFmtId="169" fontId="20" fillId="0" borderId="11" xfId="0" applyNumberFormat="1" applyFont="1" applyFill="1" applyBorder="1" applyAlignment="1" applyProtection="1"/>
    <xf numFmtId="0" fontId="0" fillId="0" borderId="27" xfId="0" applyBorder="1">
      <alignment horizontal="left" vertical="center" wrapText="1"/>
    </xf>
    <xf numFmtId="167" fontId="0" fillId="0" borderId="4" xfId="5" applyNumberFormat="1" applyFont="1" applyBorder="1" applyAlignment="1"/>
    <xf numFmtId="167" fontId="0" fillId="0" borderId="0" xfId="5" applyNumberFormat="1" applyFont="1" applyBorder="1" applyAlignment="1"/>
    <xf numFmtId="0" fontId="1" fillId="0" borderId="1" xfId="0" applyFont="1" applyBorder="1" applyAlignment="1"/>
    <xf numFmtId="0" fontId="36" fillId="0" borderId="0" xfId="0" applyFont="1" applyAlignment="1">
      <alignment horizontal="right" vertical="center" wrapText="1"/>
    </xf>
    <xf numFmtId="169" fontId="20"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41" fontId="20" fillId="0" borderId="11" xfId="0" applyNumberFormat="1" applyFont="1" applyFill="1" applyBorder="1" applyAlignment="1" applyProtection="1">
      <alignment vertical="center" wrapText="1"/>
    </xf>
    <xf numFmtId="0" fontId="45" fillId="0" borderId="0" xfId="0" applyFont="1" applyFill="1" applyAlignment="1"/>
    <xf numFmtId="0" fontId="45" fillId="0" borderId="0" xfId="0" applyFont="1">
      <alignment horizontal="left" vertical="center" wrapText="1"/>
    </xf>
    <xf numFmtId="0" fontId="45" fillId="0" borderId="0" xfId="0" applyFont="1" applyAlignment="1">
      <alignment horizontal="right" vertical="center" wrapText="1"/>
    </xf>
    <xf numFmtId="0" fontId="45" fillId="0" borderId="0" xfId="0" applyFont="1" applyFill="1">
      <alignment horizontal="left" vertical="center" wrapText="1"/>
    </xf>
    <xf numFmtId="0" fontId="17" fillId="0" borderId="0" xfId="0" applyFont="1" applyFill="1" applyBorder="1" applyAlignment="1">
      <alignment vertical="center" wrapText="1"/>
    </xf>
    <xf numFmtId="0" fontId="45" fillId="0" borderId="0" xfId="0" applyFont="1" applyFill="1" applyAlignment="1">
      <alignment horizontal="center"/>
    </xf>
    <xf numFmtId="164" fontId="41" fillId="0" borderId="0" xfId="2" applyFont="1" applyBorder="1" applyAlignment="1">
      <alignment horizontal="right" wrapText="1"/>
    </xf>
    <xf numFmtId="9" fontId="45" fillId="0" borderId="0" xfId="0" applyNumberFormat="1" applyFont="1" applyFill="1" applyBorder="1" applyAlignment="1" applyProtection="1">
      <alignment horizontal="center" wrapText="1"/>
      <protection locked="0"/>
    </xf>
    <xf numFmtId="0" fontId="41" fillId="0" borderId="0" xfId="0" applyFont="1" applyAlignment="1"/>
    <xf numFmtId="0" fontId="45" fillId="0" borderId="0" xfId="0" applyFont="1" applyAlignment="1"/>
    <xf numFmtId="0" fontId="45" fillId="0" borderId="0" xfId="0" applyFont="1" applyAlignment="1">
      <alignment horizontal="right"/>
    </xf>
    <xf numFmtId="0" fontId="46" fillId="0" borderId="0" xfId="0" applyFont="1" applyFill="1" applyBorder="1" applyAlignment="1">
      <alignment vertical="center" wrapText="1"/>
    </xf>
    <xf numFmtId="167" fontId="1" fillId="0" borderId="0" xfId="0" applyNumberFormat="1" applyFont="1" applyAlignment="1"/>
    <xf numFmtId="0" fontId="16" fillId="0" borderId="0" xfId="0" applyFont="1" applyFill="1" applyAlignment="1">
      <alignment horizontal="center"/>
    </xf>
    <xf numFmtId="0" fontId="16" fillId="0" borderId="0" xfId="0" applyFont="1" applyFill="1" applyBorder="1" applyAlignment="1">
      <alignment vertical="center" wrapText="1"/>
    </xf>
    <xf numFmtId="0" fontId="16" fillId="0" borderId="0" xfId="0" applyFont="1" applyAlignment="1">
      <alignment horizontal="right"/>
    </xf>
    <xf numFmtId="0" fontId="16" fillId="0" borderId="0" xfId="0" applyFont="1" applyFill="1" applyAlignment="1"/>
    <xf numFmtId="0" fontId="1" fillId="0" borderId="0" xfId="0" applyFont="1" applyAlignment="1"/>
    <xf numFmtId="0" fontId="47" fillId="0" borderId="0" xfId="0" applyFont="1" applyAlignment="1"/>
    <xf numFmtId="0" fontId="13" fillId="0" borderId="0" xfId="0" applyFont="1" applyAlignment="1"/>
    <xf numFmtId="0" fontId="48" fillId="0" borderId="0" xfId="0" applyFont="1" applyAlignment="1">
      <alignment horizontal="right"/>
    </xf>
    <xf numFmtId="0" fontId="13" fillId="0" borderId="0" xfId="0" applyFont="1" applyAlignment="1">
      <alignment horizontal="right"/>
    </xf>
    <xf numFmtId="0" fontId="48" fillId="0" borderId="0" xfId="0" applyFont="1" applyFill="1" applyBorder="1" applyAlignment="1"/>
    <xf numFmtId="0" fontId="44" fillId="0" borderId="0" xfId="0" applyFont="1" applyAlignment="1"/>
    <xf numFmtId="0" fontId="13" fillId="0" borderId="0" xfId="0" applyFont="1" applyFill="1" applyAlignment="1"/>
    <xf numFmtId="0" fontId="13" fillId="2" borderId="0" xfId="0" applyFont="1" applyFill="1" applyAlignment="1"/>
    <xf numFmtId="0" fontId="16" fillId="6" borderId="0" xfId="0" applyFont="1" applyFill="1" applyAlignment="1">
      <alignment horizontal="center"/>
    </xf>
    <xf numFmtId="167" fontId="16" fillId="6" borderId="11" xfId="5" applyNumberFormat="1" applyFont="1" applyFill="1" applyBorder="1" applyAlignment="1" applyProtection="1">
      <protection locked="0"/>
    </xf>
    <xf numFmtId="0" fontId="16" fillId="6" borderId="11" xfId="1" applyNumberFormat="1" applyFont="1" applyFill="1" applyBorder="1" applyAlignment="1" applyProtection="1">
      <protection locked="0"/>
    </xf>
    <xf numFmtId="0" fontId="16" fillId="6" borderId="0" xfId="0" applyFont="1" applyFill="1" applyAlignment="1">
      <alignment horizontal="center" vertical="center" wrapText="1"/>
    </xf>
    <xf numFmtId="167" fontId="0" fillId="6" borderId="11" xfId="5" applyNumberFormat="1" applyFont="1" applyFill="1" applyBorder="1" applyAlignment="1" applyProtection="1">
      <alignment horizontal="right"/>
      <protection locked="0"/>
    </xf>
    <xf numFmtId="167" fontId="0" fillId="6" borderId="11" xfId="5" applyNumberFormat="1" applyFont="1" applyFill="1" applyBorder="1" applyProtection="1">
      <protection locked="0"/>
    </xf>
    <xf numFmtId="167" fontId="0" fillId="6" borderId="11" xfId="5" applyNumberFormat="1" applyFont="1" applyFill="1" applyBorder="1" applyAlignment="1" applyProtection="1">
      <alignment horizontal="center"/>
      <protection locked="0"/>
    </xf>
    <xf numFmtId="0" fontId="38" fillId="7" borderId="20" xfId="0" applyFont="1" applyFill="1" applyBorder="1" applyAlignment="1">
      <alignment horizontal="left"/>
    </xf>
    <xf numFmtId="0" fontId="38" fillId="7" borderId="0" xfId="0" applyFont="1" applyFill="1" applyBorder="1" applyAlignment="1">
      <alignment horizontal="left"/>
    </xf>
    <xf numFmtId="43" fontId="38" fillId="7" borderId="25" xfId="1" applyFont="1" applyFill="1" applyBorder="1" applyAlignment="1">
      <alignment vertical="center"/>
    </xf>
    <xf numFmtId="43" fontId="38" fillId="7" borderId="21" xfId="1" applyFont="1" applyFill="1" applyBorder="1" applyAlignment="1">
      <alignment horizontal="right" vertical="center"/>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43" fontId="38" fillId="7" borderId="22" xfId="1" applyFont="1" applyFill="1" applyBorder="1" applyAlignment="1">
      <alignment horizontal="right" vertical="center" wrapText="1"/>
    </xf>
    <xf numFmtId="43" fontId="38" fillId="7" borderId="21" xfId="1" applyFont="1" applyFill="1" applyBorder="1" applyAlignment="1">
      <alignment horizontal="right" vertical="center" wrapText="1"/>
    </xf>
    <xf numFmtId="0" fontId="39" fillId="7" borderId="20" xfId="0" applyFont="1" applyFill="1" applyBorder="1" applyAlignment="1">
      <alignment horizontal="left" vertical="center" wrapText="1"/>
    </xf>
    <xf numFmtId="0" fontId="39" fillId="7" borderId="0" xfId="0" applyFont="1" applyFill="1" applyBorder="1" applyAlignment="1">
      <alignment horizontal="left" vertical="center" wrapText="1"/>
    </xf>
    <xf numFmtId="43" fontId="38" fillId="7" borderId="23" xfId="1" applyFont="1" applyFill="1" applyBorder="1" applyAlignment="1">
      <alignment horizontal="right" vertical="center" wrapText="1"/>
    </xf>
    <xf numFmtId="0" fontId="36" fillId="7" borderId="20" xfId="0" applyFont="1" applyFill="1" applyBorder="1" applyAlignment="1">
      <alignment horizontal="left" vertical="center" wrapText="1"/>
    </xf>
    <xf numFmtId="0" fontId="36" fillId="7" borderId="0" xfId="0" applyFont="1" applyFill="1" applyBorder="1" applyAlignment="1">
      <alignment horizontal="left" vertical="center" wrapText="1"/>
    </xf>
    <xf numFmtId="43" fontId="36" fillId="7" borderId="24" xfId="1" applyFont="1" applyFill="1" applyBorder="1" applyAlignment="1">
      <alignment horizontal="right" vertical="center" wrapText="1"/>
    </xf>
    <xf numFmtId="43" fontId="42" fillId="8" borderId="26" xfId="1" applyFont="1" applyFill="1" applyBorder="1" applyAlignment="1">
      <alignment horizontal="right" vertical="center" wrapText="1"/>
    </xf>
    <xf numFmtId="0" fontId="1" fillId="0" borderId="0" xfId="0" applyFont="1" applyBorder="1" applyAlignment="1" applyProtection="1">
      <alignment horizontal="left" vertical="center" wrapText="1"/>
    </xf>
    <xf numFmtId="0" fontId="49" fillId="0" borderId="0" xfId="0" applyFont="1" applyBorder="1" applyAlignment="1">
      <alignment horizontal="left" vertical="center" wrapText="1"/>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2" fillId="8" borderId="31" xfId="0" applyFont="1" applyFill="1" applyBorder="1" applyAlignment="1">
      <alignment horizontal="left" vertical="center" wrapText="1"/>
    </xf>
    <xf numFmtId="0" fontId="42" fillId="8" borderId="32" xfId="0" applyFont="1" applyFill="1" applyBorder="1" applyAlignment="1">
      <alignment horizontal="left" vertical="center" wrapText="1"/>
    </xf>
    <xf numFmtId="0" fontId="49" fillId="0" borderId="27" xfId="0" applyFont="1" applyBorder="1" applyAlignment="1">
      <alignment horizontal="left" vertical="center" wrapText="1"/>
    </xf>
    <xf numFmtId="0" fontId="21" fillId="7" borderId="29" xfId="0" applyFont="1" applyFill="1" applyBorder="1" applyAlignment="1">
      <alignment horizontal="center" vertical="center"/>
    </xf>
    <xf numFmtId="0" fontId="21" fillId="7" borderId="27" xfId="0" applyFont="1" applyFill="1" applyBorder="1" applyAlignment="1">
      <alignment horizontal="center" vertical="center"/>
    </xf>
    <xf numFmtId="0" fontId="21" fillId="7" borderId="30"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32" xfId="0" applyFont="1" applyFill="1" applyBorder="1" applyAlignment="1">
      <alignment horizontal="center" vertical="center"/>
    </xf>
    <xf numFmtId="0" fontId="21" fillId="7" borderId="33" xfId="0" applyFont="1" applyFill="1" applyBorder="1" applyAlignment="1">
      <alignment horizontal="center" vertical="center"/>
    </xf>
    <xf numFmtId="0" fontId="0" fillId="0" borderId="8" xfId="0" applyBorder="1" applyAlignment="1">
      <alignment horizontal="center"/>
    </xf>
    <xf numFmtId="43" fontId="16" fillId="6" borderId="28" xfId="1" applyFont="1" applyFill="1" applyBorder="1" applyAlignment="1" applyProtection="1">
      <alignment horizontal="center"/>
      <protection locked="0"/>
    </xf>
    <xf numFmtId="43" fontId="16" fillId="6" borderId="9" xfId="1" applyFont="1" applyFill="1" applyBorder="1" applyAlignment="1" applyProtection="1">
      <alignment horizontal="center"/>
      <protection locked="0"/>
    </xf>
    <xf numFmtId="43" fontId="15" fillId="6" borderId="28" xfId="1" applyFont="1" applyFill="1" applyBorder="1" applyAlignment="1" applyProtection="1">
      <alignment horizontal="center"/>
      <protection locked="0"/>
    </xf>
    <xf numFmtId="43" fontId="15" fillId="6" borderId="9" xfId="1" applyFont="1" applyFill="1" applyBorder="1" applyAlignment="1" applyProtection="1">
      <alignment horizontal="center"/>
      <protection locked="0"/>
    </xf>
    <xf numFmtId="43" fontId="16" fillId="6" borderId="28" xfId="1" applyFont="1" applyFill="1" applyBorder="1" applyAlignment="1" applyProtection="1">
      <alignment horizontal="left"/>
      <protection locked="0"/>
    </xf>
    <xf numFmtId="43" fontId="16" fillId="6" borderId="9" xfId="1" applyFont="1" applyFill="1" applyBorder="1" applyAlignment="1" applyProtection="1">
      <alignment horizontal="left"/>
      <protection locked="0"/>
    </xf>
    <xf numFmtId="0" fontId="0" fillId="0" borderId="2"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37" fillId="7" borderId="20" xfId="0" applyFont="1" applyFill="1" applyBorder="1" applyAlignment="1">
      <alignment horizontal="left" vertical="top" wrapText="1"/>
    </xf>
    <xf numFmtId="0" fontId="37" fillId="7" borderId="0" xfId="0" applyFont="1" applyFill="1" applyBorder="1" applyAlignment="1">
      <alignment horizontal="left" vertical="top" wrapText="1"/>
    </xf>
    <xf numFmtId="0" fontId="37" fillId="7" borderId="34" xfId="0" applyFont="1" applyFill="1" applyBorder="1" applyAlignment="1">
      <alignment horizontal="left" vertical="top" wrapText="1"/>
    </xf>
    <xf numFmtId="0" fontId="37" fillId="7" borderId="31" xfId="0" applyFont="1" applyFill="1" applyBorder="1" applyAlignment="1">
      <alignment horizontal="left" vertical="top" wrapText="1"/>
    </xf>
    <xf numFmtId="0" fontId="37" fillId="7" borderId="32" xfId="0" applyFont="1" applyFill="1" applyBorder="1" applyAlignment="1">
      <alignment horizontal="left" vertical="top" wrapText="1"/>
    </xf>
    <xf numFmtId="0" fontId="37" fillId="7" borderId="33" xfId="0" applyFont="1" applyFill="1" applyBorder="1" applyAlignment="1">
      <alignment horizontal="left" vertical="top" wrapText="1"/>
    </xf>
    <xf numFmtId="0" fontId="37" fillId="7" borderId="29" xfId="0" applyFont="1" applyFill="1" applyBorder="1" applyAlignment="1">
      <alignment horizontal="left" vertical="top" wrapText="1"/>
    </xf>
    <xf numFmtId="0" fontId="37" fillId="7" borderId="27" xfId="0" applyFont="1" applyFill="1" applyBorder="1" applyAlignment="1">
      <alignment horizontal="left" vertical="top" wrapText="1"/>
    </xf>
    <xf numFmtId="0" fontId="37" fillId="7" borderId="30" xfId="0" applyFont="1" applyFill="1" applyBorder="1" applyAlignment="1">
      <alignment horizontal="left" vertical="top" wrapText="1"/>
    </xf>
    <xf numFmtId="0" fontId="16" fillId="0" borderId="6" xfId="0" applyFont="1" applyBorder="1" applyAlignment="1">
      <alignment horizontal="center"/>
    </xf>
  </cellXfs>
  <cellStyles count="6">
    <cellStyle name="Komma" xfId="1" builtinId="3"/>
    <cellStyle name="Normal_Religions" xfId="3"/>
    <cellStyle name="Normal_Taux 2001-324- communaux" xfId="4"/>
    <cellStyle name="Prozent" xfId="5" builtinId="5"/>
    <cellStyle name="Standard" xfId="0" builtinId="0"/>
    <cellStyle name="Währung"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1ADE5"/>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17" fmlaLink="'Calcul des impôts'!$G$22" fmlaRange="'Taux 2015-324- communaux'!$C$14:$C$163" sel="1" val="21"/>
</file>

<file path=xl/ctrlProps/ctrlProp10.xml><?xml version="1.0" encoding="utf-8"?>
<formControlPr xmlns="http://schemas.microsoft.com/office/spreadsheetml/2009/9/main" objectType="Drop" dropStyle="combo" dx="17" fmlaLink="$L$37" fmlaRange="'Taux 2015-324- communaux'!$C$14:$C$163" noThreeD="1" sel="1" val="0"/>
</file>

<file path=xl/ctrlProps/ctrlProp11.xml><?xml version="1.0" encoding="utf-8"?>
<formControlPr xmlns="http://schemas.microsoft.com/office/spreadsheetml/2009/9/main" objectType="Drop" dropStyle="combo" dx="17" fmlaLink="$L$43" fmlaRange="'Taux 2015-324- communaux'!$C$14:$C$163" noThreeD="1" sel="1" val="0"/>
</file>

<file path=xl/ctrlProps/ctrlProp12.xml><?xml version="1.0" encoding="utf-8"?>
<formControlPr xmlns="http://schemas.microsoft.com/office/spreadsheetml/2009/9/main" objectType="Drop" dropStyle="combo" dx="17" fmlaLink="$L$49" fmlaRange="'Taux 2015-324- communaux'!$C$14:$C$163" noThreeD="1" sel="1" val="0"/>
</file>

<file path=xl/ctrlProps/ctrlProp13.xml><?xml version="1.0" encoding="utf-8"?>
<formControlPr xmlns="http://schemas.microsoft.com/office/spreadsheetml/2009/9/main" objectType="Drop" dropStyle="combo" dx="17" fmlaLink="$L$55" fmlaRange="'Taux 2015-324- communaux'!$C$14:$C$163" noThreeD="1" sel="1" val="0"/>
</file>

<file path=xl/ctrlProps/ctrlProp14.xml><?xml version="1.0" encoding="utf-8"?>
<formControlPr xmlns="http://schemas.microsoft.com/office/spreadsheetml/2009/9/main" objectType="Drop" dropStyle="combo" dx="17" fmlaLink="$G$61" fmlaRange="'Taux 2015-324- communaux'!$C$14:$C$163" noThreeD="1" sel="1" val="0"/>
</file>

<file path=xl/ctrlProps/ctrlProp15.xml><?xml version="1.0" encoding="utf-8"?>
<formControlPr xmlns="http://schemas.microsoft.com/office/spreadsheetml/2009/9/main" objectType="Drop" dropStyle="combo" dx="17" fmlaLink="$L$61" fmlaRange="'Taux 2015-324- communaux'!$C$14:$C$163" noThreeD="1" sel="1" val="0"/>
</file>

<file path=xl/ctrlProps/ctrlProp16.xml><?xml version="1.0" encoding="utf-8"?>
<formControlPr xmlns="http://schemas.microsoft.com/office/spreadsheetml/2009/9/main" objectType="Drop" dropStyle="combo" dx="17" fmlaLink="$G$67" fmlaRange="'Taux 2015-324- communaux'!$C$14:$C$163" noThreeD="1" sel="1" val="0"/>
</file>

<file path=xl/ctrlProps/ctrlProp17.xml><?xml version="1.0" encoding="utf-8"?>
<formControlPr xmlns="http://schemas.microsoft.com/office/spreadsheetml/2009/9/main" objectType="Drop" dropStyle="combo" dx="17" fmlaLink="$L$67" fmlaRange="'Taux 2015-324- communaux'!$C$14:$C$163" noThreeD="1" sel="1" val="0"/>
</file>

<file path=xl/ctrlProps/ctrlProp18.xml><?xml version="1.0" encoding="utf-8"?>
<formControlPr xmlns="http://schemas.microsoft.com/office/spreadsheetml/2009/9/main" objectType="Drop" dropLines="59" dropStyle="combo" dx="17" fmlaLink="$G$8" fmlaRange="'Calcul des impôts'!$AH$6:$AH$8" sel="1" val="0"/>
</file>

<file path=xl/ctrlProps/ctrlProp19.xml><?xml version="1.0" encoding="utf-8"?>
<formControlPr xmlns="http://schemas.microsoft.com/office/spreadsheetml/2009/9/main" objectType="Drop" dropStyle="combo" dx="17" fmlaLink="$G$7" fmlaRange="$AH$10:$AH$11" sel="1" val="0"/>
</file>

<file path=xl/ctrlProps/ctrlProp2.xml><?xml version="1.0" encoding="utf-8"?>
<formControlPr xmlns="http://schemas.microsoft.com/office/spreadsheetml/2009/9/main" objectType="Drop" dropStyle="combo" dx="17" fmlaLink="$G$27" fmlaRange="'Taux 2015-324- communaux'!$C$14:$C$163" noThreeD="1" sel="1" val="0"/>
</file>

<file path=xl/ctrlProps/ctrlProp3.xml><?xml version="1.0" encoding="utf-8"?>
<formControlPr xmlns="http://schemas.microsoft.com/office/spreadsheetml/2009/9/main" objectType="Drop" dropStyle="combo" dx="17" fmlaLink="$G$32" fmlaRange="'Taux 2015-324- communaux'!$C$14:$C$163" noThreeD="1" sel="1" val="0"/>
</file>

<file path=xl/ctrlProps/ctrlProp4.xml><?xml version="1.0" encoding="utf-8"?>
<formControlPr xmlns="http://schemas.microsoft.com/office/spreadsheetml/2009/9/main" objectType="Drop" dropStyle="combo" dx="17" fmlaLink="$G$37" fmlaRange="'Taux 2015-324- communaux'!$C$14:$C$163" noThreeD="1" sel="1" val="0"/>
</file>

<file path=xl/ctrlProps/ctrlProp5.xml><?xml version="1.0" encoding="utf-8"?>
<formControlPr xmlns="http://schemas.microsoft.com/office/spreadsheetml/2009/9/main" objectType="Drop" dropStyle="combo" dx="17" fmlaLink="$G$43" fmlaRange="'Taux 2015-324- communaux'!$C$14:$C$163" noThreeD="1" sel="1" val="0"/>
</file>

<file path=xl/ctrlProps/ctrlProp6.xml><?xml version="1.0" encoding="utf-8"?>
<formControlPr xmlns="http://schemas.microsoft.com/office/spreadsheetml/2009/9/main" objectType="Drop" dropStyle="combo" dx="17" fmlaLink="$G$49" fmlaRange="'Taux 2015-324- communaux'!$C$14:$C$163" noThreeD="1" sel="1" val="0"/>
</file>

<file path=xl/ctrlProps/ctrlProp7.xml><?xml version="1.0" encoding="utf-8"?>
<formControlPr xmlns="http://schemas.microsoft.com/office/spreadsheetml/2009/9/main" objectType="Drop" dropStyle="combo" dx="17" fmlaLink="$G$55" fmlaRange="'Taux 2015-324- communaux'!$C$14:$C$163" noThreeD="1" sel="1" val="0"/>
</file>

<file path=xl/ctrlProps/ctrlProp8.xml><?xml version="1.0" encoding="utf-8"?>
<formControlPr xmlns="http://schemas.microsoft.com/office/spreadsheetml/2009/9/main" objectType="Drop" dropStyle="combo" dx="17" fmlaLink="$L$27" fmlaRange="'Taux 2015-324- communaux'!$C$14:$C$163" noThreeD="1" sel="1" val="0"/>
</file>

<file path=xl/ctrlProps/ctrlProp9.xml><?xml version="1.0" encoding="utf-8"?>
<formControlPr xmlns="http://schemas.microsoft.com/office/spreadsheetml/2009/9/main" objectType="Drop" dropStyle="combo" dx="17" fmlaLink="$L$32" fmlaRange="'Taux 2015-324- communaux'!$C$14:$C$163" noThreeD="1" sel="1" val="0"/>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xdr:colOff>
      <xdr:row>21</xdr:row>
      <xdr:rowOff>161925</xdr:rowOff>
    </xdr:from>
    <xdr:to>
      <xdr:col>7</xdr:col>
      <xdr:colOff>942975</xdr:colOff>
      <xdr:row>21</xdr:row>
      <xdr:rowOff>161925</xdr:rowOff>
    </xdr:to>
    <xdr:sp macro="" textlink="">
      <xdr:nvSpPr>
        <xdr:cNvPr id="1341" name="Line 300"/>
        <xdr:cNvSpPr>
          <a:spLocks noChangeShapeType="1"/>
        </xdr:cNvSpPr>
      </xdr:nvSpPr>
      <xdr:spPr bwMode="auto">
        <a:xfrm>
          <a:off x="6724650" y="4476750"/>
          <a:ext cx="1695450" cy="0"/>
        </a:xfrm>
        <a:prstGeom prst="line">
          <a:avLst/>
        </a:prstGeom>
        <a:noFill/>
        <a:ln w="31750">
          <a:solidFill>
            <a:srgbClr val="000000"/>
          </a:solidFill>
          <a:round/>
          <a:headEnd/>
          <a:tailEnd type="stealth" w="med" len="med"/>
        </a:ln>
      </xdr:spPr>
    </xdr:sp>
    <xdr:clientData/>
  </xdr:twoCellAnchor>
  <mc:AlternateContent xmlns:mc="http://schemas.openxmlformats.org/markup-compatibility/2006">
    <mc:Choice xmlns:a14="http://schemas.microsoft.com/office/drawing/2010/main" Requires="a14">
      <xdr:twoCellAnchor editAs="oneCell">
        <xdr:from>
          <xdr:col>2</xdr:col>
          <xdr:colOff>1057275</xdr:colOff>
          <xdr:row>21</xdr:row>
          <xdr:rowOff>28575</xdr:rowOff>
        </xdr:from>
        <xdr:to>
          <xdr:col>5</xdr:col>
          <xdr:colOff>590550</xdr:colOff>
          <xdr:row>22</xdr:row>
          <xdr:rowOff>104775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5</xdr:col>
          <xdr:colOff>742950</xdr:colOff>
          <xdr:row>27</xdr:row>
          <xdr:rowOff>9525</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0</xdr:rowOff>
        </xdr:from>
        <xdr:to>
          <xdr:col>5</xdr:col>
          <xdr:colOff>742950</xdr:colOff>
          <xdr:row>32</xdr:row>
          <xdr:rowOff>28575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742950</xdr:colOff>
          <xdr:row>37</xdr:row>
          <xdr:rowOff>19050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5</xdr:col>
          <xdr:colOff>742950</xdr:colOff>
          <xdr:row>43</xdr:row>
          <xdr:rowOff>19050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0</xdr:rowOff>
        </xdr:from>
        <xdr:to>
          <xdr:col>10</xdr:col>
          <xdr:colOff>638175</xdr:colOff>
          <xdr:row>27</xdr:row>
          <xdr:rowOff>9525</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0</xdr:rowOff>
        </xdr:from>
        <xdr:to>
          <xdr:col>10</xdr:col>
          <xdr:colOff>638175</xdr:colOff>
          <xdr:row>32</xdr:row>
          <xdr:rowOff>28575</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0</xdr:rowOff>
        </xdr:from>
        <xdr:to>
          <xdr:col>10</xdr:col>
          <xdr:colOff>638175</xdr:colOff>
          <xdr:row>37</xdr:row>
          <xdr:rowOff>19050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0</xdr:rowOff>
        </xdr:from>
        <xdr:to>
          <xdr:col>10</xdr:col>
          <xdr:colOff>638175</xdr:colOff>
          <xdr:row>43</xdr:row>
          <xdr:rowOff>19050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19050</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19050</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762000</xdr:colOff>
          <xdr:row>7</xdr:row>
          <xdr:rowOff>209550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762000</xdr:colOff>
          <xdr:row>6</xdr:row>
          <xdr:rowOff>200025</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U590"/>
  <sheetViews>
    <sheetView tabSelected="1" zoomScaleNormal="100" workbookViewId="0">
      <pane xSplit="25590" topLeftCell="BU1"/>
      <selection activeCell="AQ33" sqref="AQ33"/>
      <selection pane="topRight" activeCell="BV7" sqref="BV7"/>
    </sheetView>
  </sheetViews>
  <sheetFormatPr baseColWidth="10" defaultRowHeight="12.75"/>
  <cols>
    <col min="2" max="2" width="54.7109375" customWidth="1"/>
    <col min="3" max="3" width="16" customWidth="1"/>
    <col min="4" max="4" width="2" customWidth="1"/>
    <col min="5" max="5" width="11.42578125" style="178"/>
    <col min="6" max="6" width="14.7109375" customWidth="1"/>
    <col min="7" max="7" width="11.42578125" style="178"/>
    <col min="8" max="8" width="15" style="21" customWidth="1"/>
    <col min="9" max="9" width="9.140625" style="178" customWidth="1"/>
    <col min="10" max="10" width="13" style="178" customWidth="1"/>
    <col min="11" max="11" width="15" style="178" customWidth="1"/>
    <col min="12" max="12" width="13" style="178" customWidth="1"/>
    <col min="13" max="13" width="15" customWidth="1"/>
    <col min="14" max="15" width="11.42578125" hidden="1" customWidth="1"/>
    <col min="16" max="16" width="12" hidden="1" customWidth="1"/>
    <col min="17" max="21" width="11.42578125" hidden="1" customWidth="1"/>
    <col min="22" max="22" width="13" hidden="1" customWidth="1"/>
    <col min="23" max="23" width="11.42578125" hidden="1" customWidth="1"/>
    <col min="24" max="25" width="18" hidden="1" customWidth="1"/>
    <col min="26" max="26" width="19.7109375" hidden="1" customWidth="1"/>
    <col min="27" max="28" width="11.42578125" hidden="1" customWidth="1"/>
    <col min="29" max="29" width="17" hidden="1" customWidth="1"/>
    <col min="30" max="30" width="14.140625" hidden="1" customWidth="1"/>
    <col min="31" max="31" width="13" hidden="1" customWidth="1"/>
    <col min="32" max="32" width="13.42578125" hidden="1" customWidth="1"/>
    <col min="33" max="33" width="2.140625" hidden="1" customWidth="1"/>
    <col min="34" max="35" width="11.42578125" hidden="1" customWidth="1"/>
    <col min="36" max="36" width="25.140625" hidden="1" customWidth="1"/>
    <col min="37" max="37" width="19.42578125" hidden="1" customWidth="1"/>
    <col min="38" max="38" width="15.28515625" hidden="1" customWidth="1"/>
    <col min="39" max="41" width="11.42578125" hidden="1" customWidth="1"/>
    <col min="42" max="42" width="14.85546875" customWidth="1"/>
    <col min="44" max="44" width="15" customWidth="1"/>
  </cols>
  <sheetData>
    <row r="1" spans="1:44" ht="6" customHeight="1" thickBot="1"/>
    <row r="2" spans="1:44" s="218" customFormat="1" ht="28.5" customHeight="1" thickTop="1">
      <c r="A2" s="58" t="s">
        <v>322</v>
      </c>
      <c r="D2"/>
      <c r="E2" s="219"/>
      <c r="G2" s="219"/>
      <c r="H2" s="220"/>
      <c r="I2" s="219"/>
      <c r="J2" s="219"/>
      <c r="K2" s="219"/>
      <c r="L2" s="219"/>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96" t="s">
        <v>306</v>
      </c>
      <c r="AQ2" s="297"/>
      <c r="AR2" s="298"/>
    </row>
    <row r="3" spans="1:44" s="218" customFormat="1" ht="20.25">
      <c r="A3" s="217" t="s">
        <v>310</v>
      </c>
      <c r="D3"/>
      <c r="E3" s="219"/>
      <c r="G3" s="219"/>
      <c r="H3" s="220"/>
      <c r="I3" s="219"/>
      <c r="J3" s="219"/>
      <c r="K3" s="219"/>
      <c r="L3" s="219"/>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90"/>
      <c r="AQ3" s="291"/>
      <c r="AR3" s="292"/>
    </row>
    <row r="4" spans="1:44" s="226" customFormat="1" ht="20.25">
      <c r="A4" s="222"/>
      <c r="B4" s="223" t="s">
        <v>323</v>
      </c>
      <c r="C4" s="224">
        <v>1</v>
      </c>
      <c r="D4"/>
      <c r="E4" s="225"/>
      <c r="F4" s="204"/>
      <c r="G4" s="204"/>
      <c r="I4" s="227"/>
      <c r="J4" s="228"/>
      <c r="K4" s="228"/>
      <c r="L4" s="228"/>
      <c r="M4" s="228"/>
      <c r="W4" s="229">
        <f>SUM(L22+H29+M29+H34+M34+H39+M39+H45+M45+H51+M51+H57+M57+H63+M63+H69+M69)</f>
        <v>0</v>
      </c>
      <c r="AP4" s="290"/>
      <c r="AQ4" s="291"/>
      <c r="AR4" s="292"/>
    </row>
    <row r="5" spans="1:44" s="61" customFormat="1" ht="8.25" customHeight="1">
      <c r="A5" s="230"/>
      <c r="D5"/>
      <c r="G5" s="231"/>
      <c r="H5" s="231"/>
      <c r="I5" s="232"/>
      <c r="J5" s="232"/>
      <c r="K5" s="232"/>
      <c r="L5" s="232"/>
      <c r="W5" s="229"/>
      <c r="AP5" s="290"/>
      <c r="AQ5" s="291"/>
      <c r="AR5" s="292"/>
    </row>
    <row r="6" spans="1:44" s="61" customFormat="1" ht="8.25" customHeight="1">
      <c r="A6" s="230"/>
      <c r="B6" s="233"/>
      <c r="D6"/>
      <c r="E6" s="232"/>
      <c r="G6" s="232"/>
      <c r="I6" s="232"/>
      <c r="J6" s="232"/>
      <c r="K6" s="232"/>
      <c r="L6" s="232"/>
      <c r="W6" s="229"/>
      <c r="AE6" s="234" t="s">
        <v>0</v>
      </c>
      <c r="AG6" s="234">
        <v>1</v>
      </c>
      <c r="AH6" s="234" t="s">
        <v>122</v>
      </c>
      <c r="AP6" s="290"/>
      <c r="AQ6" s="291"/>
      <c r="AR6" s="292"/>
    </row>
    <row r="7" spans="1:44" s="58" customFormat="1" ht="20.25" customHeight="1">
      <c r="B7" s="243" t="s">
        <v>207</v>
      </c>
      <c r="D7"/>
      <c r="E7" s="180"/>
      <c r="F7" s="90"/>
      <c r="G7" s="188">
        <v>1</v>
      </c>
      <c r="I7" s="179"/>
      <c r="J7" s="179"/>
      <c r="K7" s="179"/>
      <c r="L7" s="179"/>
      <c r="W7" s="59"/>
      <c r="AG7" s="60">
        <v>2</v>
      </c>
      <c r="AH7" s="60" t="s">
        <v>123</v>
      </c>
      <c r="AP7" s="290"/>
      <c r="AQ7" s="291"/>
      <c r="AR7" s="292"/>
    </row>
    <row r="8" spans="1:44" s="58" customFormat="1" ht="20.25" customHeight="1">
      <c r="B8" s="243" t="s">
        <v>121</v>
      </c>
      <c r="D8"/>
      <c r="E8" s="181" t="s">
        <v>122</v>
      </c>
      <c r="F8" s="60"/>
      <c r="G8" s="189">
        <v>1</v>
      </c>
      <c r="I8" s="179"/>
      <c r="J8" s="179"/>
      <c r="K8" s="179"/>
      <c r="L8" s="179"/>
      <c r="N8" s="60"/>
      <c r="W8" s="59"/>
      <c r="AG8" s="60">
        <v>3</v>
      </c>
      <c r="AH8" s="60" t="s">
        <v>124</v>
      </c>
      <c r="AP8" s="290"/>
      <c r="AQ8" s="291"/>
      <c r="AR8" s="292"/>
    </row>
    <row r="9" spans="1:44" s="49" customFormat="1" ht="24.75" customHeight="1" thickBot="1">
      <c r="D9"/>
      <c r="E9" s="181"/>
      <c r="F9" s="299"/>
      <c r="G9" s="299"/>
      <c r="I9" s="93"/>
      <c r="J9" s="93"/>
      <c r="K9" s="93"/>
      <c r="L9" s="93"/>
      <c r="W9" s="59">
        <f>J22+F29+K29+F34+K34+F39+K39+F45+K45+F51+K51+F57+K57+F63+K63+F69+K69</f>
        <v>0</v>
      </c>
      <c r="AP9" s="290"/>
      <c r="AQ9" s="291"/>
      <c r="AR9" s="292"/>
    </row>
    <row r="10" spans="1:44" s="49" customFormat="1" ht="13.5" customHeight="1" thickBot="1">
      <c r="A10" s="61" t="s">
        <v>125</v>
      </c>
      <c r="D10"/>
      <c r="E10" s="93"/>
      <c r="F10" s="281"/>
      <c r="G10" s="282"/>
      <c r="H10" s="60"/>
      <c r="I10" s="93"/>
      <c r="J10" s="93"/>
      <c r="K10" s="93"/>
      <c r="L10" s="93"/>
      <c r="AE10" s="49" t="s">
        <v>1</v>
      </c>
      <c r="AG10" s="49">
        <v>1</v>
      </c>
      <c r="AH10" s="49" t="s">
        <v>3</v>
      </c>
      <c r="AP10" s="290" t="s">
        <v>307</v>
      </c>
      <c r="AQ10" s="291"/>
      <c r="AR10" s="292"/>
    </row>
    <row r="11" spans="1:44" s="49" customFormat="1" ht="13.5" customHeight="1" thickBot="1">
      <c r="A11" s="61" t="s">
        <v>126</v>
      </c>
      <c r="D11"/>
      <c r="E11" s="172"/>
      <c r="F11" s="281"/>
      <c r="G11" s="282"/>
      <c r="H11" s="49" t="s">
        <v>249</v>
      </c>
      <c r="I11" s="93"/>
      <c r="J11" s="93"/>
      <c r="K11" s="93"/>
      <c r="L11" s="93"/>
      <c r="AG11" s="49">
        <v>2</v>
      </c>
      <c r="AH11" s="49" t="s">
        <v>2</v>
      </c>
      <c r="AP11" s="290"/>
      <c r="AQ11" s="291"/>
      <c r="AR11" s="292"/>
    </row>
    <row r="12" spans="1:44" s="49" customFormat="1" ht="13.5" customHeight="1" thickBot="1">
      <c r="A12" s="61" t="s">
        <v>162</v>
      </c>
      <c r="D12"/>
      <c r="E12" s="93"/>
      <c r="F12" s="281"/>
      <c r="G12" s="282"/>
      <c r="H12" s="49" t="s">
        <v>249</v>
      </c>
      <c r="I12" s="93"/>
      <c r="J12" s="93"/>
      <c r="K12" s="93"/>
      <c r="L12" s="93"/>
      <c r="AP12" s="290"/>
      <c r="AQ12" s="291"/>
      <c r="AR12" s="292"/>
    </row>
    <row r="13" spans="1:44" s="49" customFormat="1" ht="13.5" customHeight="1" thickBot="1">
      <c r="A13" s="61" t="s">
        <v>290</v>
      </c>
      <c r="D13"/>
      <c r="E13" s="93"/>
      <c r="F13" s="285"/>
      <c r="G13" s="286"/>
      <c r="I13" s="93"/>
      <c r="J13" s="93"/>
      <c r="K13" s="93"/>
      <c r="L13" s="93"/>
      <c r="AP13" s="290"/>
      <c r="AQ13" s="291"/>
      <c r="AR13" s="292"/>
    </row>
    <row r="14" spans="1:44" s="49" customFormat="1" ht="8.25" customHeight="1" thickBot="1">
      <c r="D14"/>
      <c r="E14" s="93"/>
      <c r="G14" s="93"/>
      <c r="I14" s="93"/>
      <c r="J14" s="93"/>
      <c r="K14" s="93"/>
      <c r="L14" s="93"/>
      <c r="AP14" s="290"/>
      <c r="AQ14" s="291"/>
      <c r="AR14" s="292"/>
    </row>
    <row r="15" spans="1:44" s="49" customFormat="1" ht="13.5" customHeight="1" thickBot="1">
      <c r="A15" s="61" t="s">
        <v>300</v>
      </c>
      <c r="D15"/>
      <c r="E15" s="93"/>
      <c r="F15" s="283"/>
      <c r="G15" s="284"/>
      <c r="I15" s="93"/>
      <c r="J15" s="93"/>
      <c r="K15" s="93"/>
      <c r="L15" s="93"/>
      <c r="V15" s="49" t="s">
        <v>260</v>
      </c>
      <c r="W15" s="49" t="s">
        <v>255</v>
      </c>
      <c r="AP15" s="290"/>
      <c r="AQ15" s="291"/>
      <c r="AR15" s="292"/>
    </row>
    <row r="16" spans="1:44" s="49" customFormat="1" ht="13.5" customHeight="1" thickBot="1">
      <c r="A16" s="61" t="s">
        <v>291</v>
      </c>
      <c r="D16"/>
      <c r="E16" s="93"/>
      <c r="F16" s="283"/>
      <c r="G16" s="284"/>
      <c r="H16" s="144" t="str">
        <f>IF(G22=1," ",IF(F12&lt;&gt;0," ",IF(F12=0,IF(F16&lt;&gt;0,"Il ne faut pas indiquer de pertes au canton"," "))))</f>
        <v xml:space="preserve"> </v>
      </c>
      <c r="I16" s="93"/>
      <c r="J16" s="93"/>
      <c r="K16" s="93"/>
      <c r="L16" s="93"/>
      <c r="W16" s="49" t="s">
        <v>256</v>
      </c>
      <c r="Z16" s="49" t="s">
        <v>257</v>
      </c>
      <c r="AP16" s="290"/>
      <c r="AQ16" s="291"/>
      <c r="AR16" s="292"/>
    </row>
    <row r="17" spans="1:44" s="49" customFormat="1" ht="8.25" customHeight="1" thickBot="1">
      <c r="D17"/>
      <c r="E17" s="93"/>
      <c r="G17" s="93"/>
      <c r="I17" s="93"/>
      <c r="J17" s="93"/>
      <c r="K17" s="93"/>
      <c r="L17" s="93"/>
      <c r="Z17" s="49" t="s">
        <v>258</v>
      </c>
      <c r="AC17" s="49" t="s">
        <v>259</v>
      </c>
      <c r="AP17" s="290"/>
      <c r="AQ17" s="291"/>
      <c r="AR17" s="292"/>
    </row>
    <row r="18" spans="1:44" s="49" customFormat="1" ht="13.5" customHeight="1" thickBot="1">
      <c r="A18" s="61" t="s">
        <v>292</v>
      </c>
      <c r="D18"/>
      <c r="E18" s="45"/>
      <c r="F18" s="244"/>
      <c r="G18" s="45" t="s">
        <v>308</v>
      </c>
      <c r="I18" s="93"/>
      <c r="J18" s="93"/>
      <c r="K18" s="93"/>
      <c r="L18" s="93"/>
      <c r="AP18" s="290"/>
      <c r="AQ18" s="291"/>
      <c r="AR18" s="292"/>
    </row>
    <row r="19" spans="1:44" s="49" customFormat="1" ht="13.5" customHeight="1" thickBot="1">
      <c r="A19" s="61" t="s">
        <v>293</v>
      </c>
      <c r="D19"/>
      <c r="E19" s="93"/>
      <c r="F19" s="245"/>
      <c r="G19" s="190"/>
      <c r="H19" s="62" t="str">
        <f>IF(G22=1," ",IF(F12-F16=F11-F15,"Ne pas indiquer de bénéfice au canton"," "))</f>
        <v xml:space="preserve"> </v>
      </c>
      <c r="I19" s="93"/>
      <c r="J19" s="93"/>
      <c r="K19" s="93"/>
      <c r="L19" s="93"/>
      <c r="Y19" s="63"/>
      <c r="AP19" s="290"/>
      <c r="AQ19" s="291"/>
      <c r="AR19" s="292"/>
    </row>
    <row r="20" spans="1:44" s="236" customFormat="1" ht="8.25" customHeight="1">
      <c r="A20" s="235"/>
      <c r="D20"/>
      <c r="E20" s="237" t="str">
        <f>IF(G22=1," ",IF(G77&lt;&gt;1,"Erreur dans la répartition du bénéfice"," "))</f>
        <v xml:space="preserve"> </v>
      </c>
      <c r="G20" s="238"/>
      <c r="H20" s="239"/>
      <c r="I20" s="238"/>
      <c r="J20" s="238"/>
      <c r="K20" s="238"/>
      <c r="L20" s="238"/>
      <c r="AP20" s="290"/>
      <c r="AQ20" s="291"/>
      <c r="AR20" s="292"/>
    </row>
    <row r="21" spans="1:44" s="236" customFormat="1" ht="8.25" customHeight="1" thickBot="1">
      <c r="C21" s="240"/>
      <c r="D21"/>
      <c r="E21" s="237" t="str">
        <f>IF(G22=1," ",IF(G75&lt;&gt;1,"Erreur dans la répartition du capital"," "))</f>
        <v xml:space="preserve"> </v>
      </c>
      <c r="G21" s="238"/>
      <c r="H21" s="241"/>
      <c r="I21" s="238"/>
      <c r="J21" s="238"/>
      <c r="K21" s="238"/>
      <c r="L21" s="238"/>
      <c r="V21" s="236" t="s">
        <v>284</v>
      </c>
      <c r="W21" s="236" t="s">
        <v>250</v>
      </c>
      <c r="X21" s="236" t="s">
        <v>251</v>
      </c>
      <c r="Y21" s="236" t="s">
        <v>286</v>
      </c>
      <c r="Z21" s="236" t="s">
        <v>250</v>
      </c>
      <c r="AA21" s="236" t="s">
        <v>251</v>
      </c>
      <c r="AB21" s="236" t="s">
        <v>287</v>
      </c>
      <c r="AC21" s="236" t="s">
        <v>250</v>
      </c>
      <c r="AD21" s="236" t="s">
        <v>251</v>
      </c>
      <c r="AE21" s="236" t="s">
        <v>285</v>
      </c>
      <c r="AF21" s="236" t="s">
        <v>288</v>
      </c>
      <c r="AH21" s="236" t="s">
        <v>289</v>
      </c>
      <c r="AI21" s="236" t="s">
        <v>164</v>
      </c>
      <c r="AJ21" s="236" t="s">
        <v>294</v>
      </c>
      <c r="AK21" s="242" t="s">
        <v>19</v>
      </c>
      <c r="AL21" s="242" t="s">
        <v>20</v>
      </c>
      <c r="AM21" s="242" t="s">
        <v>21</v>
      </c>
      <c r="AO21" s="242" t="s">
        <v>309</v>
      </c>
      <c r="AP21" s="290"/>
      <c r="AQ21" s="291"/>
      <c r="AR21" s="292"/>
    </row>
    <row r="22" spans="1:44" s="49" customFormat="1" ht="13.5" customHeight="1" thickBot="1">
      <c r="B22" s="243" t="s">
        <v>85</v>
      </c>
      <c r="D22"/>
      <c r="E22" s="93"/>
      <c r="G22" s="191">
        <v>1</v>
      </c>
      <c r="I22" s="93" t="s">
        <v>87</v>
      </c>
      <c r="J22" s="247"/>
      <c r="K22" s="93" t="s">
        <v>87</v>
      </c>
      <c r="L22" s="247"/>
      <c r="T22" s="49" t="s">
        <v>261</v>
      </c>
      <c r="V22" s="49">
        <f>IF(G22=1,0,G22)</f>
        <v>0</v>
      </c>
      <c r="W22" s="49">
        <f>IF(V22=0,0,VLOOKUP(V22,'Taux 2015-324- communaux'!$A$14:$H$163,4))</f>
        <v>0</v>
      </c>
      <c r="X22" s="49">
        <f>IF(V22=0,0,VLOOKUP(V22,'Taux 2015-324- communaux'!$A$14:$H$163,4))</f>
        <v>0</v>
      </c>
      <c r="Y22" s="64">
        <f>IF(V22=0,0,VLOOKUP(V22,'Part des paroisses'!$A$2:$E$169,4))</f>
        <v>0</v>
      </c>
      <c r="Z22" s="49">
        <f>IF(V22=0,0,VLOOKUP(V22,'Taux 2015-324- communaux'!$A$14:$H$163,6))</f>
        <v>0</v>
      </c>
      <c r="AA22" s="49">
        <f>IF(V22=0,0,VLOOKUP(V22,'Taux 2015-324- communaux'!$A$14:$H$163,5))</f>
        <v>0</v>
      </c>
      <c r="AB22" s="64">
        <f>IF(V22=0,0,VLOOKUP(V22,'Part des paroisses'!$A$2:$E$169,5))</f>
        <v>0</v>
      </c>
      <c r="AC22" s="49">
        <f>IF(V22=0,0,VLOOKUP(V22,'Taux 2015-324- communaux'!$A$14:$H$163,8))</f>
        <v>0</v>
      </c>
      <c r="AD22" s="49">
        <f>IF(V22=0,0,VLOOKUP(V22,'Taux 2015-324- communaux'!$A$14:$H$163,7))</f>
        <v>0</v>
      </c>
      <c r="AE22" s="63">
        <f>J22</f>
        <v>0</v>
      </c>
      <c r="AF22" s="65">
        <f>ROUND(($X$106*AE22*W22)/100,0)</f>
        <v>0</v>
      </c>
      <c r="AH22" s="65">
        <f>ROUND(((($X$106*AE22)*(Y22*Z22)/10000)+(($X$106*AE22)*(AB22*AC22))/10000),1)</f>
        <v>0</v>
      </c>
      <c r="AI22" s="88">
        <f>ROUND(($X$124*AO22*W22)/100,0)</f>
        <v>0</v>
      </c>
      <c r="AJ22" s="88">
        <f>ROUND(((($X$124*AO22)*(Y22*AA22)/10000)+(($X$124*AO22)*(AB22*AD22))/10000),1)</f>
        <v>0</v>
      </c>
      <c r="AK22" s="99">
        <f>X22*AE22/100</f>
        <v>0</v>
      </c>
      <c r="AL22" s="100">
        <f>Y22*AA22*AE22/10000</f>
        <v>0</v>
      </c>
      <c r="AM22" s="100">
        <f>AB22*AD22*AE22/10000</f>
        <v>0</v>
      </c>
      <c r="AO22" s="63">
        <f>L22</f>
        <v>0</v>
      </c>
      <c r="AP22" s="290"/>
      <c r="AQ22" s="291"/>
      <c r="AR22" s="292"/>
    </row>
    <row r="23" spans="1:44" s="49" customFormat="1" ht="13.5" customHeight="1" thickBot="1">
      <c r="D23"/>
      <c r="E23" s="93"/>
      <c r="G23" s="93"/>
      <c r="I23" s="93" t="s">
        <v>79</v>
      </c>
      <c r="J23" s="207">
        <f>F10*J22</f>
        <v>0</v>
      </c>
      <c r="K23" s="202" t="s">
        <v>251</v>
      </c>
      <c r="L23" s="207">
        <f>IF(($F$12-$F$16)&gt;0,($F$12-$F$16)*L22,IF($F$12=0,$F$11*L22,0))</f>
        <v>0</v>
      </c>
      <c r="T23" s="49" t="s">
        <v>262</v>
      </c>
      <c r="V23" s="49">
        <f>IF(G27=1,0,G27)</f>
        <v>0</v>
      </c>
      <c r="W23" s="49">
        <f>IF(V23=0,0,VLOOKUP(V23,'Taux 2015-324- communaux'!$A$14:$H$163,4))</f>
        <v>0</v>
      </c>
      <c r="X23" s="49">
        <f>IF(V23=0,0,VLOOKUP(V23,'Taux 2015-324- communaux'!$A$14:$H$163,4))</f>
        <v>0</v>
      </c>
      <c r="Y23" s="64">
        <f>IF(V23=0,0,VLOOKUP(V23,'Part des paroisses'!$A$2:$E$169,4))</f>
        <v>0</v>
      </c>
      <c r="Z23" s="49">
        <f>IF(V23=0,0,VLOOKUP(V23,'Taux 2015-324- communaux'!$A$14:$H$163,6))</f>
        <v>0</v>
      </c>
      <c r="AA23" s="49">
        <f>IF(V23=0,0,VLOOKUP(V23,'Taux 2015-324- communaux'!$A$14:$H$163,5))</f>
        <v>0</v>
      </c>
      <c r="AB23" s="64">
        <f>IF(V23=0,0,VLOOKUP(V23,'Part des paroisses'!$A$2:$E$169,5))</f>
        <v>0</v>
      </c>
      <c r="AC23" s="49">
        <f>IF(V23=0,0,VLOOKUP(V23,'Taux 2015-324- communaux'!$A$14:$H$163,8))</f>
        <v>0</v>
      </c>
      <c r="AD23" s="49">
        <f>IF(V23=0,0,VLOOKUP(V23,'Taux 2015-324- communaux'!$A$14:$H$163,7))</f>
        <v>0</v>
      </c>
      <c r="AE23" s="63">
        <f>F29</f>
        <v>0</v>
      </c>
      <c r="AF23" s="65">
        <f t="shared" ref="AF23:AF38" si="0">ROUND(($X$106*AE23*W23)/100,0)</f>
        <v>0</v>
      </c>
      <c r="AH23" s="65">
        <f t="shared" ref="AH23:AH38" si="1">ROUND(((($X$106*AE23)*(Y23*Z23)/10000)+(($X$106*AE23)*(AB23*AC23))/10000),1)</f>
        <v>0</v>
      </c>
      <c r="AI23" s="88">
        <f>ROUND(($X$124*AO23*W23)/100,0)</f>
        <v>0</v>
      </c>
      <c r="AJ23" s="88">
        <f t="shared" ref="AJ23:AJ38" si="2">ROUND(((($X$124*AO23)*(Y23*AA23)/10000)+(($X$124*AO23)*(AB23*AD23))/10000),1)</f>
        <v>0</v>
      </c>
      <c r="AK23" s="99">
        <f t="shared" ref="AK23:AK38" si="3">X23*AE23/100</f>
        <v>0</v>
      </c>
      <c r="AL23" s="100">
        <f t="shared" ref="AL23:AL38" si="4">Y23*AA23*AE23/10000</f>
        <v>0</v>
      </c>
      <c r="AM23" s="100">
        <f t="shared" ref="AM23:AM38" si="5">AB23*AD23*AE23/10000</f>
        <v>0</v>
      </c>
      <c r="AO23" s="63">
        <f>H29</f>
        <v>0</v>
      </c>
      <c r="AP23" s="290"/>
      <c r="AQ23" s="291"/>
      <c r="AR23" s="292"/>
    </row>
    <row r="24" spans="1:44" ht="8.25" customHeight="1">
      <c r="V24" s="49">
        <f>IF(L27=1,0,L27)</f>
        <v>0</v>
      </c>
      <c r="W24" s="49">
        <f>IF(V24=0,0,VLOOKUP(V24,'Taux 2015-324- communaux'!$A$14:$H$163,4))</f>
        <v>0</v>
      </c>
      <c r="X24" s="49">
        <f>IF(V24=0,0,VLOOKUP(V24,'Taux 2015-324- communaux'!$A$14:$H$163,4))</f>
        <v>0</v>
      </c>
      <c r="Y24" s="64">
        <f>IF(V24=0,0,VLOOKUP(V24,'Part des paroisses'!$A$2:$E$169,4))</f>
        <v>0</v>
      </c>
      <c r="Z24" s="49">
        <f>IF(V24=0,0,VLOOKUP(V24,'Taux 2015-324- communaux'!$A$14:$H$163,6))</f>
        <v>0</v>
      </c>
      <c r="AA24" s="49">
        <f>IF(V24=0,0,VLOOKUP(V24,'Taux 2015-324- communaux'!$A$14:$H$163,5))</f>
        <v>0</v>
      </c>
      <c r="AB24" s="64">
        <f>IF(V24=0,0,VLOOKUP(V24,'Part des paroisses'!$A$2:$E$169,5))</f>
        <v>0</v>
      </c>
      <c r="AC24" s="49">
        <f>IF(V24=0,0,VLOOKUP(V24,'Taux 2015-324- communaux'!$A$14:$H$163,8))</f>
        <v>0</v>
      </c>
      <c r="AD24" s="49">
        <f>IF(V24=0,0,VLOOKUP(V24,'Taux 2015-324- communaux'!$A$14:$H$163,7))</f>
        <v>0</v>
      </c>
      <c r="AE24" s="47">
        <f>K29</f>
        <v>0</v>
      </c>
      <c r="AF24" s="46">
        <f t="shared" si="0"/>
        <v>0</v>
      </c>
      <c r="AH24" s="46">
        <f t="shared" si="1"/>
        <v>0</v>
      </c>
      <c r="AI24" s="88">
        <f>ROUND(($X$124*AO24*W24)/100,0)</f>
        <v>0</v>
      </c>
      <c r="AJ24" s="88">
        <f t="shared" si="2"/>
        <v>0</v>
      </c>
      <c r="AK24" s="99">
        <f t="shared" si="3"/>
        <v>0</v>
      </c>
      <c r="AL24" s="100">
        <f t="shared" si="4"/>
        <v>0</v>
      </c>
      <c r="AM24" s="100">
        <f t="shared" si="5"/>
        <v>0</v>
      </c>
      <c r="AO24" s="47">
        <f>M29</f>
        <v>0</v>
      </c>
      <c r="AP24" s="290"/>
      <c r="AQ24" s="291"/>
      <c r="AR24" s="292"/>
    </row>
    <row r="25" spans="1:44" ht="8.25" customHeight="1" thickBot="1">
      <c r="G25" s="192"/>
      <c r="H25" s="91"/>
      <c r="V25" s="49">
        <f>IF(G32=1,0,G32)</f>
        <v>0</v>
      </c>
      <c r="W25" s="49">
        <f>IF(V25=0,0,VLOOKUP(V25,'Taux 2015-324- communaux'!$A$14:$H$163,4))</f>
        <v>0</v>
      </c>
      <c r="X25" s="49">
        <f>IF(V25=0,0,VLOOKUP(V25,'Taux 2015-324- communaux'!$A$14:$H$163,4))</f>
        <v>0</v>
      </c>
      <c r="Y25" s="64">
        <f>IF(V25=0,0,VLOOKUP(V25,'Part des paroisses'!$A$2:$E$169,4))</f>
        <v>0</v>
      </c>
      <c r="Z25" s="49">
        <f>IF(V25=0,0,VLOOKUP(V25,'Taux 2015-324- communaux'!$A$14:$H$163,6))</f>
        <v>0</v>
      </c>
      <c r="AA25" s="49">
        <f>IF(V25=0,0,VLOOKUP(V25,'Taux 2015-324- communaux'!$A$14:$H$163,5))</f>
        <v>0</v>
      </c>
      <c r="AB25" s="64">
        <f>IF(V25=0,0,VLOOKUP(V25,'Part des paroisses'!$A$2:$E$169,5))</f>
        <v>0</v>
      </c>
      <c r="AC25" s="49">
        <f>IF(V25=0,0,VLOOKUP(V25,'Taux 2015-324- communaux'!$A$14:$H$163,8))</f>
        <v>0</v>
      </c>
      <c r="AD25" s="49">
        <f>IF(V25=0,0,VLOOKUP(V25,'Taux 2015-324- communaux'!$A$14:$H$163,7))</f>
        <v>0</v>
      </c>
      <c r="AE25" s="47">
        <f>F34</f>
        <v>0</v>
      </c>
      <c r="AF25" s="46">
        <f t="shared" si="0"/>
        <v>0</v>
      </c>
      <c r="AH25" s="46">
        <f t="shared" si="1"/>
        <v>0</v>
      </c>
      <c r="AI25" s="88">
        <f t="shared" ref="AI25:AI38" si="6">ROUND(($X$124*AO25*W25)/100,0)</f>
        <v>0</v>
      </c>
      <c r="AJ25" s="88">
        <f t="shared" si="2"/>
        <v>0</v>
      </c>
      <c r="AK25" s="99">
        <f t="shared" si="3"/>
        <v>0</v>
      </c>
      <c r="AL25" s="100">
        <f t="shared" si="4"/>
        <v>0</v>
      </c>
      <c r="AM25" s="100">
        <f t="shared" si="5"/>
        <v>0</v>
      </c>
      <c r="AO25" s="47">
        <f>H34</f>
        <v>0</v>
      </c>
      <c r="AP25" s="293"/>
      <c r="AQ25" s="294"/>
      <c r="AR25" s="295"/>
    </row>
    <row r="26" spans="1:44" ht="13.5" customHeight="1" thickTop="1">
      <c r="B26" s="246" t="s">
        <v>86</v>
      </c>
      <c r="C26" s="22"/>
      <c r="V26" s="49">
        <f>IF(L32=1,0,L32)</f>
        <v>0</v>
      </c>
      <c r="W26" s="49">
        <f>IF(V26=0,0,VLOOKUP(V26,'Taux 2015-324- communaux'!$A$14:$H$163,4))</f>
        <v>0</v>
      </c>
      <c r="X26" s="49">
        <f>IF(V26=0,0,VLOOKUP(V26,'Taux 2015-324- communaux'!$A$14:$H$163,4))</f>
        <v>0</v>
      </c>
      <c r="Y26" s="64">
        <f>IF(V26=0,0,VLOOKUP(V26,'Part des paroisses'!$A$2:$E$169,4))</f>
        <v>0</v>
      </c>
      <c r="Z26" s="49">
        <f>IF(V26=0,0,VLOOKUP(V26,'Taux 2015-324- communaux'!$A$14:$H$163,6))</f>
        <v>0</v>
      </c>
      <c r="AA26" s="49">
        <f>IF(V26=0,0,VLOOKUP(V26,'Taux 2015-324- communaux'!$A$14:$H$163,5))</f>
        <v>0</v>
      </c>
      <c r="AB26" s="64">
        <f>IF(V26=0,0,VLOOKUP(V26,'Part des paroisses'!$A$2:$E$169,5))</f>
        <v>0</v>
      </c>
      <c r="AC26" s="49">
        <f>IF(V26=0,0,VLOOKUP(V26,'Taux 2015-324- communaux'!$A$14:$H$163,8))</f>
        <v>0</v>
      </c>
      <c r="AD26" s="49">
        <f>IF(V26=0,0,VLOOKUP(V26,'Taux 2015-324- communaux'!$A$14:$H$163,7))</f>
        <v>0</v>
      </c>
      <c r="AE26" s="47">
        <f>K34</f>
        <v>0</v>
      </c>
      <c r="AF26" s="46">
        <f t="shared" si="0"/>
        <v>0</v>
      </c>
      <c r="AH26" s="46">
        <f t="shared" si="1"/>
        <v>0</v>
      </c>
      <c r="AI26" s="88">
        <f t="shared" si="6"/>
        <v>0</v>
      </c>
      <c r="AJ26" s="88">
        <f t="shared" si="2"/>
        <v>0</v>
      </c>
      <c r="AK26" s="99">
        <f t="shared" si="3"/>
        <v>0</v>
      </c>
      <c r="AL26" s="100">
        <f t="shared" si="4"/>
        <v>0</v>
      </c>
      <c r="AM26" s="100">
        <f t="shared" si="5"/>
        <v>0</v>
      </c>
      <c r="AO26" s="47">
        <f>M34</f>
        <v>0</v>
      </c>
    </row>
    <row r="27" spans="1:44" ht="13.5" customHeight="1" thickBot="1">
      <c r="G27" s="193">
        <v>1</v>
      </c>
      <c r="L27" s="193">
        <v>1</v>
      </c>
      <c r="V27" s="49">
        <f>IF(G37=1,0,G37)</f>
        <v>0</v>
      </c>
      <c r="W27" s="49">
        <f>IF(V27=0,0,VLOOKUP(V27,'Taux 2015-324- communaux'!$A$14:$H$163,4))</f>
        <v>0</v>
      </c>
      <c r="X27" s="49">
        <f>IF(V27=0,0,VLOOKUP(V27,'Taux 2015-324- communaux'!$A$14:$H$163,4))</f>
        <v>0</v>
      </c>
      <c r="Y27" s="64">
        <f>IF(V27=0,0,VLOOKUP(V27,'Part des paroisses'!$A$2:$E$169,4))</f>
        <v>0</v>
      </c>
      <c r="Z27" s="49">
        <f>IF(V27=0,0,VLOOKUP(V27,'Taux 2015-324- communaux'!$A$14:$H$163,6))</f>
        <v>0</v>
      </c>
      <c r="AA27" s="49">
        <f>IF(V27=0,0,VLOOKUP(V27,'Taux 2015-324- communaux'!$A$14:$H$163,5))</f>
        <v>0</v>
      </c>
      <c r="AB27" s="64">
        <f>IF(V27=0,0,VLOOKUP(V27,'Part des paroisses'!$A$2:$E$169,5))</f>
        <v>0</v>
      </c>
      <c r="AC27" s="49">
        <f>IF(V27=0,0,VLOOKUP(V27,'Taux 2015-324- communaux'!$A$14:$H$163,8))</f>
        <v>0</v>
      </c>
      <c r="AD27" s="49">
        <f>IF(V27=0,0,VLOOKUP(V27,'Taux 2015-324- communaux'!$A$14:$H$163,7))</f>
        <v>0</v>
      </c>
      <c r="AE27" s="47">
        <f>F39</f>
        <v>0</v>
      </c>
      <c r="AF27" s="46">
        <f t="shared" si="0"/>
        <v>0</v>
      </c>
      <c r="AH27" s="46">
        <f t="shared" si="1"/>
        <v>0</v>
      </c>
      <c r="AI27" s="88">
        <f t="shared" si="6"/>
        <v>0</v>
      </c>
      <c r="AJ27" s="88">
        <f t="shared" si="2"/>
        <v>0</v>
      </c>
      <c r="AK27" s="99">
        <f t="shared" si="3"/>
        <v>0</v>
      </c>
      <c r="AL27" s="100">
        <f t="shared" si="4"/>
        <v>0</v>
      </c>
      <c r="AM27" s="100">
        <f t="shared" si="5"/>
        <v>0</v>
      </c>
      <c r="AO27" s="47">
        <f>H39</f>
        <v>0</v>
      </c>
    </row>
    <row r="28" spans="1:44" ht="13.5" customHeight="1" thickTop="1" thickBot="1">
      <c r="A28" s="274" t="s">
        <v>303</v>
      </c>
      <c r="B28" s="275"/>
      <c r="C28" s="276"/>
      <c r="V28" s="49">
        <f>IF(L37=1,0,L37)</f>
        <v>0</v>
      </c>
      <c r="W28" s="49">
        <f>IF(V28=0,0,VLOOKUP(V28,'Taux 2015-324- communaux'!$A$14:$H$163,4))</f>
        <v>0</v>
      </c>
      <c r="X28" s="49">
        <f>IF(V28=0,0,VLOOKUP(V28,'Taux 2015-324- communaux'!$A$14:$H$163,4))</f>
        <v>0</v>
      </c>
      <c r="Y28" s="64">
        <f>IF(V28=0,0,VLOOKUP(V28,'Part des paroisses'!$A$2:$E$169,4))</f>
        <v>0</v>
      </c>
      <c r="Z28" s="49">
        <f>IF(V28=0,0,VLOOKUP(V28,'Taux 2015-324- communaux'!$A$14:$H$163,6))</f>
        <v>0</v>
      </c>
      <c r="AA28" s="49">
        <f>IF(V28=0,0,VLOOKUP(V28,'Taux 2015-324- communaux'!$A$14:$H$163,5))</f>
        <v>0</v>
      </c>
      <c r="AB28" s="64">
        <f>IF(V28=0,0,VLOOKUP(V28,'Part des paroisses'!$A$2:$E$169,5))</f>
        <v>0</v>
      </c>
      <c r="AC28" s="49">
        <f>IF(V28=0,0,VLOOKUP(V28,'Taux 2015-324- communaux'!$A$14:$H$163,8))</f>
        <v>0</v>
      </c>
      <c r="AD28" s="49">
        <f>IF(V28=0,0,VLOOKUP(V28,'Taux 2015-324- communaux'!$A$14:$H$163,7))</f>
        <v>0</v>
      </c>
      <c r="AE28" s="47">
        <f>K39</f>
        <v>0</v>
      </c>
      <c r="AF28" s="46">
        <f t="shared" si="0"/>
        <v>0</v>
      </c>
      <c r="AH28" s="46">
        <f t="shared" si="1"/>
        <v>0</v>
      </c>
      <c r="AI28" s="88">
        <f t="shared" si="6"/>
        <v>0</v>
      </c>
      <c r="AJ28" s="88">
        <f t="shared" si="2"/>
        <v>0</v>
      </c>
      <c r="AK28" s="99">
        <f t="shared" si="3"/>
        <v>0</v>
      </c>
      <c r="AL28" s="100">
        <f t="shared" si="4"/>
        <v>0</v>
      </c>
      <c r="AM28" s="100">
        <f t="shared" si="5"/>
        <v>0</v>
      </c>
      <c r="AO28" s="47">
        <f>M39</f>
        <v>0</v>
      </c>
    </row>
    <row r="29" spans="1:44" ht="13.5" customHeight="1" thickBot="1">
      <c r="A29" s="277"/>
      <c r="B29" s="278"/>
      <c r="C29" s="279"/>
      <c r="E29" s="178" t="s">
        <v>87</v>
      </c>
      <c r="F29" s="248"/>
      <c r="G29" s="212" t="s">
        <v>87</v>
      </c>
      <c r="H29" s="248"/>
      <c r="J29" s="178" t="s">
        <v>87</v>
      </c>
      <c r="K29" s="247"/>
      <c r="L29" s="212" t="s">
        <v>87</v>
      </c>
      <c r="M29" s="248"/>
      <c r="V29" s="49">
        <f>IF(G43=1,0,G43)</f>
        <v>0</v>
      </c>
      <c r="W29" s="49">
        <f>IF(V29=0,0,VLOOKUP(V29,'Taux 2015-324- communaux'!$A$14:$H$163,4))</f>
        <v>0</v>
      </c>
      <c r="X29" s="49">
        <f>IF(V29=0,0,VLOOKUP(V29,'Taux 2015-324- communaux'!$A$14:$H$163,4))</f>
        <v>0</v>
      </c>
      <c r="Y29" s="64">
        <f>IF(V29=0,0,VLOOKUP(V29,'Part des paroisses'!$A$2:$E$169,4))</f>
        <v>0</v>
      </c>
      <c r="Z29" s="49">
        <f>IF(V29=0,0,VLOOKUP(V29,'Taux 2015-324- communaux'!$A$14:$H$163,6))</f>
        <v>0</v>
      </c>
      <c r="AA29" s="49">
        <f>IF(V29=0,0,VLOOKUP(V29,'Taux 2015-324- communaux'!$A$14:$H$163,5))</f>
        <v>0</v>
      </c>
      <c r="AB29" s="64">
        <f>IF(V29=0,0,VLOOKUP(V29,'Part des paroisses'!$A$2:$E$169,5))</f>
        <v>0</v>
      </c>
      <c r="AC29" s="49">
        <f>IF(V29=0,0,VLOOKUP(V29,'Taux 2015-324- communaux'!$A$14:$H$163,8))</f>
        <v>0</v>
      </c>
      <c r="AD29" s="49">
        <f>IF(V29=0,0,VLOOKUP(V29,'Taux 2015-324- communaux'!$A$14:$H$163,7))</f>
        <v>0</v>
      </c>
      <c r="AE29" s="47">
        <f>F45</f>
        <v>0</v>
      </c>
      <c r="AF29" s="46">
        <f t="shared" si="0"/>
        <v>0</v>
      </c>
      <c r="AH29" s="46">
        <f t="shared" si="1"/>
        <v>0</v>
      </c>
      <c r="AI29" s="88">
        <f t="shared" si="6"/>
        <v>0</v>
      </c>
      <c r="AJ29" s="88">
        <f t="shared" si="2"/>
        <v>0</v>
      </c>
      <c r="AK29" s="99">
        <f t="shared" si="3"/>
        <v>0</v>
      </c>
      <c r="AL29" s="100">
        <f t="shared" si="4"/>
        <v>0</v>
      </c>
      <c r="AM29" s="100">
        <f t="shared" si="5"/>
        <v>0</v>
      </c>
      <c r="AO29" s="47">
        <f>H45</f>
        <v>0</v>
      </c>
    </row>
    <row r="30" spans="1:44" ht="13.5" customHeight="1" thickTop="1" thickBot="1">
      <c r="A30" s="250"/>
      <c r="B30" s="251" t="s">
        <v>301</v>
      </c>
      <c r="C30" s="252">
        <f>IF(G22=1,0,ROUND((X106*W61),1))</f>
        <v>0</v>
      </c>
      <c r="E30" s="178" t="s">
        <v>250</v>
      </c>
      <c r="F30" s="203">
        <f>F10*F29</f>
        <v>0</v>
      </c>
      <c r="G30" s="194" t="s">
        <v>251</v>
      </c>
      <c r="H30" s="203">
        <f>IF(($F$12-$F$16)&gt;0,($F$12-$F$16)*H29,IF($F$12=0,$F$11*H29,0))</f>
        <v>0</v>
      </c>
      <c r="I30" s="194"/>
      <c r="J30" s="194" t="s">
        <v>250</v>
      </c>
      <c r="K30" s="213">
        <f>F11*K29</f>
        <v>0</v>
      </c>
      <c r="L30" s="194" t="s">
        <v>251</v>
      </c>
      <c r="M30" s="203">
        <f>IF(($F$12-$F$16)&gt;0,($F$12-$F$16)*M29,IF($F$12=0,$F$11*M29,0))</f>
        <v>0</v>
      </c>
      <c r="V30" s="49">
        <f>IF(L43=1,0,L43)</f>
        <v>0</v>
      </c>
      <c r="W30" s="49">
        <f>IF(V30=0,0,VLOOKUP(V30,'Taux 2015-324- communaux'!$A$14:$H$163,4))</f>
        <v>0</v>
      </c>
      <c r="X30" s="49">
        <f>IF(V30=0,0,VLOOKUP(V30,'Taux 2015-324- communaux'!$A$14:$H$163,4))</f>
        <v>0</v>
      </c>
      <c r="Y30" s="64">
        <f>IF(V30=0,0,VLOOKUP(V30,'Part des paroisses'!$A$2:$E$169,4))</f>
        <v>0</v>
      </c>
      <c r="Z30" s="49">
        <f>IF(V30=0,0,VLOOKUP(V30,'Taux 2015-324- communaux'!$A$14:$H$163,6))</f>
        <v>0</v>
      </c>
      <c r="AA30" s="49">
        <f>IF(V30=0,0,VLOOKUP(V30,'Taux 2015-324- communaux'!$A$14:$H$163,5))</f>
        <v>0</v>
      </c>
      <c r="AB30" s="64">
        <f>IF(V30=0,0,VLOOKUP(V30,'Part des paroisses'!$A$2:$E$169,5))</f>
        <v>0</v>
      </c>
      <c r="AC30" s="49">
        <f>IF(V30=0,0,VLOOKUP(V30,'Taux 2015-324- communaux'!$A$14:$H$163,8))</f>
        <v>0</v>
      </c>
      <c r="AD30" s="49">
        <f>IF(V30=0,0,VLOOKUP(V30,'Taux 2015-324- communaux'!$A$14:$H$163,7))</f>
        <v>0</v>
      </c>
      <c r="AE30" s="47">
        <f>K45</f>
        <v>0</v>
      </c>
      <c r="AF30" s="46">
        <f t="shared" si="0"/>
        <v>0</v>
      </c>
      <c r="AH30" s="46">
        <f t="shared" si="1"/>
        <v>0</v>
      </c>
      <c r="AI30" s="88">
        <f t="shared" si="6"/>
        <v>0</v>
      </c>
      <c r="AJ30" s="88">
        <f t="shared" si="2"/>
        <v>0</v>
      </c>
      <c r="AK30" s="99">
        <f t="shared" si="3"/>
        <v>0</v>
      </c>
      <c r="AL30" s="100">
        <f t="shared" si="4"/>
        <v>0</v>
      </c>
      <c r="AM30" s="100">
        <f t="shared" si="5"/>
        <v>0</v>
      </c>
      <c r="AO30" s="47">
        <f>M45</f>
        <v>0</v>
      </c>
    </row>
    <row r="31" spans="1:44" ht="13.5" customHeight="1">
      <c r="A31" s="250"/>
      <c r="B31" s="251" t="s">
        <v>295</v>
      </c>
      <c r="C31" s="253">
        <f>IF(G22=1,0,X107+X108)</f>
        <v>0</v>
      </c>
      <c r="V31" s="49">
        <f>IF(G49=1,0,G49)</f>
        <v>0</v>
      </c>
      <c r="W31" s="49">
        <f>IF(V31=0,0,VLOOKUP(V31,'Taux 2015-324- communaux'!$A$14:$H$163,4))</f>
        <v>0</v>
      </c>
      <c r="X31" s="49">
        <f>IF(V31=0,0,VLOOKUP(V31,'Taux 2015-324- communaux'!$A$14:$H$163,4))</f>
        <v>0</v>
      </c>
      <c r="Y31" s="64">
        <f>IF(V31=0,0,VLOOKUP(V31,'Part des paroisses'!$A$2:$E$169,4))</f>
        <v>0</v>
      </c>
      <c r="Z31" s="49">
        <f>IF(V31=0,0,VLOOKUP(V31,'Taux 2015-324- communaux'!$A$14:$H$163,6))</f>
        <v>0</v>
      </c>
      <c r="AA31" s="49">
        <f>IF(V31=0,0,VLOOKUP(V31,'Taux 2015-324- communaux'!$A$14:$H$163,5))</f>
        <v>0</v>
      </c>
      <c r="AB31" s="64">
        <f>IF(V31=0,0,VLOOKUP(V31,'Part des paroisses'!$A$2:$E$169,5))</f>
        <v>0</v>
      </c>
      <c r="AC31" s="49">
        <f>IF(V31=0,0,VLOOKUP(V31,'Taux 2015-324- communaux'!$A$14:$H$163,8))</f>
        <v>0</v>
      </c>
      <c r="AD31" s="49">
        <f>IF(V31=0,0,VLOOKUP(V31,'Taux 2015-324- communaux'!$A$14:$H$163,7))</f>
        <v>0</v>
      </c>
      <c r="AE31" s="47">
        <f>F51</f>
        <v>0</v>
      </c>
      <c r="AF31" s="46">
        <f t="shared" si="0"/>
        <v>0</v>
      </c>
      <c r="AH31" s="46">
        <f t="shared" si="1"/>
        <v>0</v>
      </c>
      <c r="AI31" s="88">
        <f t="shared" si="6"/>
        <v>0</v>
      </c>
      <c r="AJ31" s="88">
        <f t="shared" si="2"/>
        <v>0</v>
      </c>
      <c r="AK31" s="99">
        <f t="shared" si="3"/>
        <v>0</v>
      </c>
      <c r="AL31" s="100">
        <f t="shared" si="4"/>
        <v>0</v>
      </c>
      <c r="AM31" s="100">
        <f t="shared" si="5"/>
        <v>0</v>
      </c>
      <c r="AO31" s="47">
        <f>H51</f>
        <v>0</v>
      </c>
    </row>
    <row r="32" spans="1:44" ht="13.5" customHeight="1">
      <c r="A32" s="254"/>
      <c r="B32" s="255"/>
      <c r="C32" s="256"/>
      <c r="G32" s="193">
        <v>1</v>
      </c>
      <c r="L32" s="193">
        <v>1</v>
      </c>
      <c r="V32" s="49">
        <f>IF(L49=1,0,L49)</f>
        <v>0</v>
      </c>
      <c r="W32" s="49">
        <f>IF(V32=0,0,VLOOKUP(V32,'Taux 2015-324- communaux'!$A$14:$H$163,4))</f>
        <v>0</v>
      </c>
      <c r="X32" s="49">
        <f>IF(V32=0,0,VLOOKUP(V32,'Taux 2015-324- communaux'!$A$14:$H$163,4))</f>
        <v>0</v>
      </c>
      <c r="Y32" s="64">
        <f>IF(V32=0,0,VLOOKUP(V32,'Part des paroisses'!$A$2:$E$169,4))</f>
        <v>0</v>
      </c>
      <c r="Z32" s="49">
        <f>IF(V32=0,0,VLOOKUP(V32,'Taux 2015-324- communaux'!$A$14:$H$163,6))</f>
        <v>0</v>
      </c>
      <c r="AA32" s="49">
        <f>IF(V32=0,0,VLOOKUP(V32,'Taux 2015-324- communaux'!$A$14:$H$163,5))</f>
        <v>0</v>
      </c>
      <c r="AB32" s="64">
        <f>IF(V32=0,0,VLOOKUP(V32,'Part des paroisses'!$A$2:$E$169,5))</f>
        <v>0</v>
      </c>
      <c r="AC32" s="49">
        <f>IF(V32=0,0,VLOOKUP(V32,'Taux 2015-324- communaux'!$A$14:$H$163,8))</f>
        <v>0</v>
      </c>
      <c r="AD32" s="49">
        <f>IF(V32=0,0,VLOOKUP(V32,'Taux 2015-324- communaux'!$A$14:$H$163,7))</f>
        <v>0</v>
      </c>
      <c r="AE32" s="47">
        <f>K51</f>
        <v>0</v>
      </c>
      <c r="AF32" s="46">
        <f t="shared" si="0"/>
        <v>0</v>
      </c>
      <c r="AH32" s="46">
        <f t="shared" si="1"/>
        <v>0</v>
      </c>
      <c r="AI32" s="88">
        <f t="shared" si="6"/>
        <v>0</v>
      </c>
      <c r="AJ32" s="88">
        <f t="shared" si="2"/>
        <v>0</v>
      </c>
      <c r="AK32" s="99">
        <f t="shared" si="3"/>
        <v>0</v>
      </c>
      <c r="AL32" s="100">
        <f t="shared" si="4"/>
        <v>0</v>
      </c>
      <c r="AM32" s="100">
        <f t="shared" si="5"/>
        <v>0</v>
      </c>
      <c r="AO32" s="47">
        <f>M51</f>
        <v>0</v>
      </c>
    </row>
    <row r="33" spans="1:41" ht="13.5" customHeight="1" thickBot="1">
      <c r="A33" s="267" t="s">
        <v>296</v>
      </c>
      <c r="B33" s="268"/>
      <c r="C33" s="257">
        <f>SUM(C30:C32)</f>
        <v>0</v>
      </c>
      <c r="V33" s="49">
        <f>IF(G55=1,0,G55)</f>
        <v>0</v>
      </c>
      <c r="W33" s="49">
        <f>IF(V33=0,0,VLOOKUP(V33,'Taux 2015-324- communaux'!$A$14:$H$163,4))</f>
        <v>0</v>
      </c>
      <c r="X33" s="49">
        <f>IF(V33=0,0,VLOOKUP(V33,'Taux 2015-324- communaux'!$A$14:$H$163,4))</f>
        <v>0</v>
      </c>
      <c r="Y33" s="64">
        <f>IF(V33=0,0,VLOOKUP(V33,'Part des paroisses'!$A$2:$E$169,4))</f>
        <v>0</v>
      </c>
      <c r="Z33" s="49">
        <f>IF(V33=0,0,VLOOKUP(V33,'Taux 2015-324- communaux'!$A$14:$H$163,6))</f>
        <v>0</v>
      </c>
      <c r="AA33" s="49">
        <f>IF(V33=0,0,VLOOKUP(V33,'Taux 2015-324- communaux'!$A$14:$H$163,5))</f>
        <v>0</v>
      </c>
      <c r="AB33" s="64">
        <f>IF(V33=0,0,VLOOKUP(V33,'Part des paroisses'!$A$2:$E$169,5))</f>
        <v>0</v>
      </c>
      <c r="AC33" s="49">
        <f>IF(V33=0,0,VLOOKUP(V33,'Taux 2015-324- communaux'!$A$14:$H$163,8))</f>
        <v>0</v>
      </c>
      <c r="AD33" s="49">
        <f>IF(V33=0,0,VLOOKUP(V33,'Taux 2015-324- communaux'!$A$14:$H$163,7))</f>
        <v>0</v>
      </c>
      <c r="AE33" s="47">
        <f>F57</f>
        <v>0</v>
      </c>
      <c r="AF33" s="46">
        <f t="shared" si="0"/>
        <v>0</v>
      </c>
      <c r="AH33" s="46">
        <f t="shared" si="1"/>
        <v>0</v>
      </c>
      <c r="AI33" s="88">
        <f t="shared" si="6"/>
        <v>0</v>
      </c>
      <c r="AJ33" s="88">
        <f t="shared" si="2"/>
        <v>0</v>
      </c>
      <c r="AK33" s="99">
        <f t="shared" si="3"/>
        <v>0</v>
      </c>
      <c r="AL33" s="100">
        <f t="shared" si="4"/>
        <v>0</v>
      </c>
      <c r="AM33" s="100">
        <f t="shared" si="5"/>
        <v>0</v>
      </c>
      <c r="AO33" s="47">
        <f>H57</f>
        <v>0</v>
      </c>
    </row>
    <row r="34" spans="1:41" ht="13.5" customHeight="1" thickBot="1">
      <c r="A34" s="258"/>
      <c r="B34" s="259"/>
      <c r="C34" s="257"/>
      <c r="E34" s="178" t="s">
        <v>87</v>
      </c>
      <c r="F34" s="248"/>
      <c r="G34" s="178" t="s">
        <v>87</v>
      </c>
      <c r="H34" s="248"/>
      <c r="J34" s="178" t="s">
        <v>87</v>
      </c>
      <c r="K34" s="247"/>
      <c r="L34" s="178" t="s">
        <v>87</v>
      </c>
      <c r="M34" s="248"/>
      <c r="V34" s="49">
        <f>IF(L55=1,0,L55)</f>
        <v>0</v>
      </c>
      <c r="W34" s="49">
        <f>IF(V34=0,0,VLOOKUP(V34,'Taux 2015-324- communaux'!$A$14:$H$163,4))</f>
        <v>0</v>
      </c>
      <c r="X34" s="49">
        <f>IF(V34=0,0,VLOOKUP(V34,'Taux 2015-324- communaux'!$A$14:$H$163,4))</f>
        <v>0</v>
      </c>
      <c r="Y34" s="64">
        <f>IF(V34=0,0,VLOOKUP(V34,'Part des paroisses'!$A$2:$E$169,4))</f>
        <v>0</v>
      </c>
      <c r="Z34" s="49">
        <f>IF(V34=0,0,VLOOKUP(V34,'Taux 2015-324- communaux'!$A$14:$H$163,6))</f>
        <v>0</v>
      </c>
      <c r="AA34" s="49">
        <f>IF(V34=0,0,VLOOKUP(V34,'Taux 2015-324- communaux'!$A$14:$H$163,5))</f>
        <v>0</v>
      </c>
      <c r="AB34" s="64">
        <f>IF(V34=0,0,VLOOKUP(V34,'Part des paroisses'!$A$2:$E$169,5))</f>
        <v>0</v>
      </c>
      <c r="AC34" s="49">
        <f>IF(V34=0,0,VLOOKUP(V34,'Taux 2015-324- communaux'!$A$14:$H$163,8))</f>
        <v>0</v>
      </c>
      <c r="AD34" s="49">
        <f>IF(V34=0,0,VLOOKUP(V34,'Taux 2015-324- communaux'!$A$14:$H$163,7))</f>
        <v>0</v>
      </c>
      <c r="AE34" s="47">
        <f>K57</f>
        <v>0</v>
      </c>
      <c r="AF34" s="46">
        <f t="shared" si="0"/>
        <v>0</v>
      </c>
      <c r="AH34" s="46">
        <f t="shared" si="1"/>
        <v>0</v>
      </c>
      <c r="AI34" s="88">
        <f t="shared" si="6"/>
        <v>0</v>
      </c>
      <c r="AJ34" s="88">
        <f t="shared" si="2"/>
        <v>0</v>
      </c>
      <c r="AK34" s="99">
        <f t="shared" si="3"/>
        <v>0</v>
      </c>
      <c r="AL34" s="100">
        <f t="shared" si="4"/>
        <v>0</v>
      </c>
      <c r="AM34" s="100">
        <f t="shared" si="5"/>
        <v>0</v>
      </c>
      <c r="AO34" s="47">
        <f>M57</f>
        <v>0</v>
      </c>
    </row>
    <row r="35" spans="1:41" ht="13.5" customHeight="1" thickBot="1">
      <c r="A35" s="254"/>
      <c r="B35" s="255" t="s">
        <v>302</v>
      </c>
      <c r="C35" s="257">
        <f>IF(G22=1,0,ROUND(X125*W62,1))</f>
        <v>0</v>
      </c>
      <c r="E35" s="178" t="s">
        <v>250</v>
      </c>
      <c r="F35" s="203">
        <f>F10*F34</f>
        <v>0</v>
      </c>
      <c r="G35" s="194" t="s">
        <v>251</v>
      </c>
      <c r="H35" s="203">
        <f>IF(($F$12-$F$16)&gt;0,($F$12-$F$16)*H34,IF($F$12=0,$F$11*H34,0))</f>
        <v>0</v>
      </c>
      <c r="I35" s="194"/>
      <c r="J35" s="194" t="s">
        <v>250</v>
      </c>
      <c r="K35" s="213">
        <f>F10*K34</f>
        <v>0</v>
      </c>
      <c r="L35" s="194" t="s">
        <v>251</v>
      </c>
      <c r="M35" s="203">
        <f>IF(($F$12-$F$16)&gt;0,($F$12-$F$16)*M34,IF($F$12=0,$F$11*M34,0))</f>
        <v>0</v>
      </c>
      <c r="V35" s="49">
        <f>IF(G61=1,0,G61)</f>
        <v>0</v>
      </c>
      <c r="W35" s="49">
        <f>IF(V35=0,0,VLOOKUP(V35,'Taux 2015-324- communaux'!$A$14:$H$163,4))</f>
        <v>0</v>
      </c>
      <c r="X35" s="49">
        <f>IF(V35=0,0,VLOOKUP(V35,'Taux 2015-324- communaux'!$A$14:$H$163,4))</f>
        <v>0</v>
      </c>
      <c r="Y35" s="64">
        <f>IF(V35=0,0,VLOOKUP(V35,'Part des paroisses'!$A$2:$E$169,4))</f>
        <v>0</v>
      </c>
      <c r="Z35" s="49">
        <f>IF(V35=0,0,VLOOKUP(V35,'Taux 2015-324- communaux'!$A$14:$H$163,6))</f>
        <v>0</v>
      </c>
      <c r="AA35" s="49">
        <f>IF(V35=0,0,VLOOKUP(V35,'Taux 2015-324- communaux'!$A$14:$H$163,5))</f>
        <v>0</v>
      </c>
      <c r="AB35" s="64">
        <f>IF(V35=0,0,VLOOKUP(V35,'Part des paroisses'!$A$2:$E$169,5))</f>
        <v>0</v>
      </c>
      <c r="AC35" s="49">
        <f>IF(V35=0,0,VLOOKUP(V35,'Taux 2015-324- communaux'!$A$14:$H$163,8))</f>
        <v>0</v>
      </c>
      <c r="AD35" s="49">
        <f>IF(V35=0,0,VLOOKUP(V35,'Taux 2015-324- communaux'!$A$14:$H$163,7))</f>
        <v>0</v>
      </c>
      <c r="AE35" s="47">
        <f>F63</f>
        <v>0</v>
      </c>
      <c r="AF35" s="46">
        <f t="shared" si="0"/>
        <v>0</v>
      </c>
      <c r="AH35" s="46">
        <f t="shared" si="1"/>
        <v>0</v>
      </c>
      <c r="AI35" s="88">
        <f t="shared" si="6"/>
        <v>0</v>
      </c>
      <c r="AJ35" s="88">
        <f t="shared" si="2"/>
        <v>0</v>
      </c>
      <c r="AK35" s="99">
        <f t="shared" si="3"/>
        <v>0</v>
      </c>
      <c r="AL35" s="100">
        <f t="shared" si="4"/>
        <v>0</v>
      </c>
      <c r="AM35" s="100">
        <f t="shared" si="5"/>
        <v>0</v>
      </c>
      <c r="AO35" s="47">
        <f>H63</f>
        <v>0</v>
      </c>
    </row>
    <row r="36" spans="1:41" ht="13.5" customHeight="1">
      <c r="A36" s="254"/>
      <c r="B36" s="255" t="s">
        <v>245</v>
      </c>
      <c r="C36" s="260">
        <f>IF(G22=1,0,AI39+AJ39)</f>
        <v>0</v>
      </c>
      <c r="K36" s="214"/>
      <c r="V36" s="49">
        <f>IF(L61=1,0,L61)</f>
        <v>0</v>
      </c>
      <c r="W36" s="49">
        <f>IF(V36=0,0,VLOOKUP(V36,'Taux 2015-324- communaux'!$A$14:$H$163,4))</f>
        <v>0</v>
      </c>
      <c r="X36" s="49">
        <f>IF(V36=0,0,VLOOKUP(V36,'Taux 2015-324- communaux'!$A$14:$H$163,4))</f>
        <v>0</v>
      </c>
      <c r="Y36" s="64">
        <f>IF(V36=0,0,VLOOKUP(V36,'Part des paroisses'!$A$2:$E$169,4))</f>
        <v>0</v>
      </c>
      <c r="Z36" s="49">
        <f>IF(V36=0,0,VLOOKUP(V36,'Taux 2015-324- communaux'!$A$14:$H$163,6))</f>
        <v>0</v>
      </c>
      <c r="AA36" s="49">
        <f>IF(V36=0,0,VLOOKUP(V36,'Taux 2015-324- communaux'!$A$14:$H$163,5))</f>
        <v>0</v>
      </c>
      <c r="AB36" s="64">
        <f>IF(V36=0,0,VLOOKUP(V36,'Part des paroisses'!$A$2:$E$169,5))</f>
        <v>0</v>
      </c>
      <c r="AC36" s="49">
        <f>IF(V36=0,0,VLOOKUP(V36,'Taux 2015-324- communaux'!$A$14:$H$163,8))</f>
        <v>0</v>
      </c>
      <c r="AD36" s="49">
        <f>IF(V36=0,0,VLOOKUP(V36,'Taux 2015-324- communaux'!$A$14:$H$163,7))</f>
        <v>0</v>
      </c>
      <c r="AE36" s="47">
        <f>K63</f>
        <v>0</v>
      </c>
      <c r="AF36" s="46">
        <f t="shared" si="0"/>
        <v>0</v>
      </c>
      <c r="AH36" s="46">
        <f t="shared" si="1"/>
        <v>0</v>
      </c>
      <c r="AI36" s="88">
        <f t="shared" si="6"/>
        <v>0</v>
      </c>
      <c r="AJ36" s="88">
        <f t="shared" si="2"/>
        <v>0</v>
      </c>
      <c r="AK36" s="99">
        <f t="shared" si="3"/>
        <v>0</v>
      </c>
      <c r="AL36" s="100">
        <f t="shared" si="4"/>
        <v>0</v>
      </c>
      <c r="AM36" s="100">
        <f t="shared" si="5"/>
        <v>0</v>
      </c>
      <c r="AO36" s="47">
        <f>M63</f>
        <v>0</v>
      </c>
    </row>
    <row r="37" spans="1:41" ht="13.5" customHeight="1">
      <c r="A37" s="254"/>
      <c r="B37" s="255"/>
      <c r="C37" s="257"/>
      <c r="G37" s="193">
        <v>1</v>
      </c>
      <c r="K37" s="214"/>
      <c r="L37" s="193">
        <v>1</v>
      </c>
      <c r="V37" s="49">
        <f>IF(G67=1,0,G67)</f>
        <v>0</v>
      </c>
      <c r="W37" s="49">
        <f>IF(V37=0,0,VLOOKUP(V37,'Taux 2015-324- communaux'!$A$14:$H$163,4))</f>
        <v>0</v>
      </c>
      <c r="X37" s="49">
        <f>IF(V37=0,0,VLOOKUP(V37,'Taux 2015-324- communaux'!$A$14:$H$163,4))</f>
        <v>0</v>
      </c>
      <c r="Y37" s="64">
        <f>IF(V37=0,0,VLOOKUP(V37,'Part des paroisses'!$A$2:$E$169,4))</f>
        <v>0</v>
      </c>
      <c r="Z37" s="49">
        <f>IF(V37=0,0,VLOOKUP(V37,'Taux 2015-324- communaux'!$A$14:$H$163,6))</f>
        <v>0</v>
      </c>
      <c r="AA37" s="49">
        <f>IF(V37=0,0,VLOOKUP(V37,'Taux 2015-324- communaux'!$A$14:$H$163,5))</f>
        <v>0</v>
      </c>
      <c r="AB37" s="64">
        <f>IF(V37=0,0,VLOOKUP(V37,'Part des paroisses'!$A$2:$E$169,5))</f>
        <v>0</v>
      </c>
      <c r="AC37" s="49">
        <f>IF(V37=0,0,VLOOKUP(V37,'Taux 2015-324- communaux'!$A$14:$H$163,8))</f>
        <v>0</v>
      </c>
      <c r="AD37" s="49">
        <f>IF(V37=0,0,VLOOKUP(V37,'Taux 2015-324- communaux'!$A$14:$H$163,7))</f>
        <v>0</v>
      </c>
      <c r="AE37" s="47">
        <f>F69</f>
        <v>0</v>
      </c>
      <c r="AF37" s="46">
        <f t="shared" si="0"/>
        <v>0</v>
      </c>
      <c r="AH37" s="46">
        <f t="shared" si="1"/>
        <v>0</v>
      </c>
      <c r="AI37" s="88">
        <f t="shared" si="6"/>
        <v>0</v>
      </c>
      <c r="AJ37" s="88">
        <f t="shared" si="2"/>
        <v>0</v>
      </c>
      <c r="AK37" s="99">
        <f t="shared" si="3"/>
        <v>0</v>
      </c>
      <c r="AL37" s="100">
        <f t="shared" si="4"/>
        <v>0</v>
      </c>
      <c r="AM37" s="100">
        <f t="shared" si="5"/>
        <v>0</v>
      </c>
      <c r="AO37" s="47">
        <f>H69</f>
        <v>0</v>
      </c>
    </row>
    <row r="38" spans="1:41" ht="13.5" customHeight="1" thickBot="1">
      <c r="A38" s="269" t="s">
        <v>206</v>
      </c>
      <c r="B38" s="270"/>
      <c r="C38" s="257">
        <f>SUM(C35:C37)</f>
        <v>0</v>
      </c>
      <c r="I38" s="196"/>
      <c r="K38" s="214"/>
      <c r="V38" s="49">
        <f>IF(L67=1,0,L67)</f>
        <v>0</v>
      </c>
      <c r="W38" s="49">
        <f>IF(V38=0,0,VLOOKUP(V38,'Taux 2015-324- communaux'!$A$14:$H$163,4))</f>
        <v>0</v>
      </c>
      <c r="X38" s="49">
        <f>IF(V38=0,0,VLOOKUP(V38,'Taux 2015-324- communaux'!$A$14:$H$163,4))</f>
        <v>0</v>
      </c>
      <c r="Y38" s="64">
        <f>IF(V38=0,0,VLOOKUP(V38,'Part des paroisses'!$A$2:$E$169,4))</f>
        <v>0</v>
      </c>
      <c r="Z38" s="49">
        <f>IF(V38=0,0,VLOOKUP(V38,'Taux 2015-324- communaux'!$A$14:$H$163,6))</f>
        <v>0</v>
      </c>
      <c r="AA38" s="49">
        <f>IF(V38=0,0,VLOOKUP(V38,'Taux 2015-324- communaux'!$A$14:$H$163,5))</f>
        <v>0</v>
      </c>
      <c r="AB38" s="64">
        <f>IF(V38=0,0,VLOOKUP(V38,'Part des paroisses'!$A$2:$E$169,5))</f>
        <v>0</v>
      </c>
      <c r="AC38" s="49">
        <f>IF(V38=0,0,VLOOKUP(V38,'Taux 2015-324- communaux'!$A$14:$H$163,8))</f>
        <v>0</v>
      </c>
      <c r="AD38" s="49">
        <f>IF(V38=0,0,VLOOKUP(V38,'Taux 2015-324- communaux'!$A$14:$H$163,7))</f>
        <v>0</v>
      </c>
      <c r="AE38" s="47">
        <f>K69</f>
        <v>0</v>
      </c>
      <c r="AF38" s="46">
        <f t="shared" si="0"/>
        <v>0</v>
      </c>
      <c r="AH38" s="46">
        <f t="shared" si="1"/>
        <v>0</v>
      </c>
      <c r="AI38" s="88">
        <f t="shared" si="6"/>
        <v>0</v>
      </c>
      <c r="AJ38" s="88">
        <f t="shared" si="2"/>
        <v>0</v>
      </c>
      <c r="AK38" s="99">
        <f t="shared" si="3"/>
        <v>0</v>
      </c>
      <c r="AL38" s="100">
        <f t="shared" si="4"/>
        <v>0</v>
      </c>
      <c r="AM38" s="100">
        <f t="shared" si="5"/>
        <v>0</v>
      </c>
      <c r="AO38" s="47">
        <f>M69</f>
        <v>0</v>
      </c>
    </row>
    <row r="39" spans="1:41" ht="13.5" customHeight="1" thickBot="1">
      <c r="A39" s="267" t="s">
        <v>297</v>
      </c>
      <c r="B39" s="268"/>
      <c r="C39" s="260">
        <f>IF(G22=1,0,X135)</f>
        <v>0</v>
      </c>
      <c r="E39" s="178" t="s">
        <v>87</v>
      </c>
      <c r="F39" s="248"/>
      <c r="G39" s="178" t="s">
        <v>87</v>
      </c>
      <c r="H39" s="248"/>
      <c r="J39" s="178" t="s">
        <v>87</v>
      </c>
      <c r="K39" s="249"/>
      <c r="L39" s="178" t="s">
        <v>87</v>
      </c>
      <c r="M39" s="248"/>
      <c r="AE39" s="23">
        <f>SUM(AE22:AE38)</f>
        <v>0</v>
      </c>
      <c r="AF39" s="46">
        <f>SUM(AF22:AF38)</f>
        <v>0</v>
      </c>
      <c r="AH39" s="46">
        <f t="shared" ref="AH39:AM39" si="7">SUM(AH22:AH38)</f>
        <v>0</v>
      </c>
      <c r="AI39" s="88">
        <f t="shared" si="7"/>
        <v>0</v>
      </c>
      <c r="AJ39" s="88">
        <f t="shared" si="7"/>
        <v>0</v>
      </c>
      <c r="AK39" s="98">
        <f t="shared" si="7"/>
        <v>0</v>
      </c>
      <c r="AL39" s="98">
        <f t="shared" si="7"/>
        <v>0</v>
      </c>
      <c r="AM39" s="98">
        <f t="shared" si="7"/>
        <v>0</v>
      </c>
      <c r="AN39" s="98">
        <f>SUM(AK39:AM39)</f>
        <v>0</v>
      </c>
    </row>
    <row r="40" spans="1:41" ht="13.5" customHeight="1" thickBot="1">
      <c r="A40" s="261"/>
      <c r="B40" s="262" t="s">
        <v>247</v>
      </c>
      <c r="C40" s="263">
        <f>C33+C38+C39</f>
        <v>0</v>
      </c>
      <c r="E40" s="178" t="s">
        <v>250</v>
      </c>
      <c r="F40" s="203">
        <f>F10*F39</f>
        <v>0</v>
      </c>
      <c r="G40" s="194" t="s">
        <v>251</v>
      </c>
      <c r="H40" s="203">
        <f>IF(($F$12-$F$16)&gt;0,($F$12-$F$16)*H39,IF($F$12=0,$F$11*H39,0))</f>
        <v>0</v>
      </c>
      <c r="I40" s="194"/>
      <c r="J40" s="194" t="s">
        <v>250</v>
      </c>
      <c r="K40" s="213">
        <f>F10*K39</f>
        <v>0</v>
      </c>
      <c r="L40" s="194" t="s">
        <v>251</v>
      </c>
      <c r="M40" s="203">
        <f>IF(($F$12-$F$16)&gt;0,($F$12-$F$16)*M39,IF($F$12=0,$F$11*M39,0))</f>
        <v>0</v>
      </c>
    </row>
    <row r="41" spans="1:41" ht="16.5" thickTop="1" thickBot="1">
      <c r="A41" s="271" t="s">
        <v>305</v>
      </c>
      <c r="B41" s="272"/>
      <c r="C41" s="264" t="str">
        <f>IF(G22=1," ",ROUND((C40+49.95)/100,0)*100)</f>
        <v xml:space="preserve"> </v>
      </c>
    </row>
    <row r="42" spans="1:41" ht="13.5" customHeight="1" thickTop="1">
      <c r="A42" s="273" t="s">
        <v>312</v>
      </c>
      <c r="B42" s="273"/>
      <c r="C42" s="208"/>
      <c r="T42" s="49"/>
      <c r="U42" s="49"/>
      <c r="V42" s="49"/>
      <c r="W42" s="49"/>
      <c r="X42" s="49"/>
      <c r="Y42" s="49"/>
      <c r="Z42" s="49"/>
      <c r="AA42" s="49"/>
      <c r="AB42" s="49"/>
      <c r="AC42" s="49"/>
      <c r="AD42" s="49"/>
      <c r="AE42" s="49"/>
      <c r="AF42" s="49"/>
      <c r="AG42" s="49"/>
      <c r="AH42" s="49"/>
      <c r="AI42" s="49"/>
      <c r="AJ42" s="49"/>
    </row>
    <row r="43" spans="1:41" ht="13.5" customHeight="1">
      <c r="A43" s="266" t="s">
        <v>311</v>
      </c>
      <c r="B43" s="266"/>
      <c r="C43" s="266"/>
      <c r="G43" s="193">
        <v>1</v>
      </c>
      <c r="L43" s="193">
        <v>1</v>
      </c>
      <c r="T43" s="49"/>
      <c r="U43" s="49"/>
      <c r="V43" s="49"/>
      <c r="W43" s="49"/>
      <c r="X43" s="49"/>
      <c r="Y43" s="64"/>
      <c r="Z43" s="49"/>
      <c r="AA43" s="49"/>
      <c r="AB43" s="64"/>
      <c r="AC43" s="49"/>
      <c r="AD43" s="49"/>
      <c r="AE43" s="63"/>
      <c r="AF43" s="65"/>
      <c r="AG43" s="49"/>
      <c r="AH43" s="65"/>
      <c r="AI43" s="88"/>
      <c r="AJ43" s="88"/>
    </row>
    <row r="44" spans="1:41" ht="13.5" customHeight="1" thickBot="1">
      <c r="T44" s="49"/>
      <c r="U44" s="49"/>
      <c r="V44" s="49"/>
      <c r="W44" s="49"/>
      <c r="X44" s="49"/>
      <c r="Y44" s="64"/>
      <c r="Z44" s="49"/>
      <c r="AA44" s="49"/>
      <c r="AB44" s="64"/>
      <c r="AC44" s="49"/>
      <c r="AD44" s="49"/>
      <c r="AE44" s="63"/>
      <c r="AF44" s="65"/>
      <c r="AG44" s="49"/>
      <c r="AH44" s="65"/>
      <c r="AI44" s="88"/>
      <c r="AJ44" s="88"/>
    </row>
    <row r="45" spans="1:41" ht="13.5" customHeight="1" thickBot="1">
      <c r="E45" s="178" t="s">
        <v>87</v>
      </c>
      <c r="F45" s="248"/>
      <c r="G45" s="178" t="s">
        <v>87</v>
      </c>
      <c r="H45" s="248"/>
      <c r="J45" s="178" t="s">
        <v>87</v>
      </c>
      <c r="K45" s="249"/>
      <c r="L45" s="178" t="s">
        <v>87</v>
      </c>
      <c r="M45" s="248"/>
      <c r="W45" s="49"/>
      <c r="X45" s="49"/>
      <c r="Y45" s="64"/>
      <c r="Z45" s="49"/>
      <c r="AA45" s="49"/>
      <c r="AB45" s="64"/>
      <c r="AC45" s="49"/>
      <c r="AD45" s="49"/>
      <c r="AE45" s="47"/>
      <c r="AF45" s="46"/>
      <c r="AH45" s="46"/>
      <c r="AI45" s="88"/>
      <c r="AJ45" s="88"/>
    </row>
    <row r="46" spans="1:41" ht="13.5" customHeight="1" thickBot="1">
      <c r="E46" s="178" t="s">
        <v>250</v>
      </c>
      <c r="F46" s="201">
        <f>F10*F45</f>
        <v>0</v>
      </c>
      <c r="G46" s="194" t="s">
        <v>251</v>
      </c>
      <c r="H46" s="203">
        <f>IF(($F$12-$F$16)&gt;0,($F$12-$F$16)*H45,IF($F$12=0,$F$11*H45,0))</f>
        <v>0</v>
      </c>
      <c r="I46" s="194"/>
      <c r="J46" s="194" t="s">
        <v>250</v>
      </c>
      <c r="K46" s="216">
        <f>F10*K45</f>
        <v>0</v>
      </c>
      <c r="L46" s="194" t="s">
        <v>251</v>
      </c>
      <c r="M46" s="203">
        <f>IF(($F$12-$F$16)&gt;0,($F$12-$F$16)*M45,IF($F$12=0,$F$11*M45,0))</f>
        <v>0</v>
      </c>
      <c r="W46" s="49"/>
      <c r="X46" s="49"/>
      <c r="Y46" s="64"/>
      <c r="Z46" s="49"/>
      <c r="AA46" s="49"/>
      <c r="AB46" s="64"/>
      <c r="AC46" s="49"/>
      <c r="AD46" s="49"/>
      <c r="AE46" s="47"/>
      <c r="AF46" s="46"/>
      <c r="AH46" s="46"/>
      <c r="AI46" s="88"/>
      <c r="AJ46" s="88"/>
    </row>
    <row r="47" spans="1:41" ht="13.5" customHeight="1">
      <c r="K47" s="214"/>
      <c r="W47" s="49"/>
      <c r="X47" s="49"/>
      <c r="Y47" s="64"/>
      <c r="Z47" s="49"/>
      <c r="AA47" s="49"/>
      <c r="AB47" s="64"/>
      <c r="AC47" s="49"/>
      <c r="AD47" s="49"/>
      <c r="AE47" s="47"/>
      <c r="AF47" s="46"/>
      <c r="AH47" s="46"/>
      <c r="AI47" s="88"/>
      <c r="AJ47" s="88"/>
    </row>
    <row r="48" spans="1:41" ht="13.5" customHeight="1">
      <c r="K48" s="214"/>
      <c r="W48" s="49"/>
      <c r="X48" s="49"/>
      <c r="Y48" s="64"/>
      <c r="Z48" s="49"/>
      <c r="AA48" s="49"/>
      <c r="AB48" s="64"/>
      <c r="AC48" s="49"/>
      <c r="AD48" s="49"/>
      <c r="AE48" s="47"/>
      <c r="AF48" s="46"/>
      <c r="AH48" s="46"/>
      <c r="AI48" s="88"/>
      <c r="AJ48" s="88"/>
    </row>
    <row r="49" spans="5:36" ht="13.5" hidden="1" customHeight="1">
      <c r="G49" s="193">
        <v>1</v>
      </c>
      <c r="K49" s="214"/>
      <c r="L49" s="193">
        <v>1</v>
      </c>
      <c r="W49" s="49"/>
      <c r="X49" s="49"/>
      <c r="Y49" s="64"/>
      <c r="Z49" s="49"/>
      <c r="AA49" s="49"/>
      <c r="AB49" s="64"/>
      <c r="AC49" s="49"/>
      <c r="AD49" s="49"/>
      <c r="AE49" s="47"/>
      <c r="AF49" s="46"/>
      <c r="AH49" s="46"/>
      <c r="AI49" s="88"/>
      <c r="AJ49" s="88"/>
    </row>
    <row r="50" spans="5:36" ht="13.5" hidden="1" customHeight="1" thickBot="1">
      <c r="K50" s="214"/>
      <c r="W50" s="49"/>
      <c r="X50" s="49"/>
      <c r="Y50" s="64"/>
      <c r="Z50" s="49"/>
      <c r="AA50" s="49"/>
      <c r="AB50" s="64"/>
      <c r="AC50" s="49"/>
      <c r="AD50" s="49"/>
      <c r="AE50" s="47"/>
      <c r="AF50" s="46"/>
      <c r="AH50" s="46"/>
      <c r="AI50" s="88"/>
      <c r="AJ50" s="88"/>
    </row>
    <row r="51" spans="5:36" ht="13.5" hidden="1" customHeight="1" thickBot="1">
      <c r="E51" s="178" t="s">
        <v>87</v>
      </c>
      <c r="F51" s="248"/>
      <c r="G51" s="178" t="s">
        <v>87</v>
      </c>
      <c r="H51" s="248"/>
      <c r="J51" s="178" t="s">
        <v>87</v>
      </c>
      <c r="K51" s="249"/>
      <c r="L51" s="178" t="s">
        <v>87</v>
      </c>
      <c r="M51" s="248"/>
      <c r="W51" s="49"/>
      <c r="X51" s="49"/>
      <c r="Y51" s="64"/>
      <c r="Z51" s="49"/>
      <c r="AA51" s="49"/>
      <c r="AB51" s="64"/>
      <c r="AC51" s="49"/>
      <c r="AD51" s="49"/>
      <c r="AE51" s="47"/>
      <c r="AF51" s="46"/>
      <c r="AH51" s="46"/>
      <c r="AI51" s="88"/>
      <c r="AJ51" s="88"/>
    </row>
    <row r="52" spans="5:36" ht="13.5" hidden="1" customHeight="1" thickBot="1">
      <c r="E52" s="178" t="s">
        <v>250</v>
      </c>
      <c r="F52" s="203">
        <f>F10*F51</f>
        <v>0</v>
      </c>
      <c r="G52" s="205" t="s">
        <v>251</v>
      </c>
      <c r="H52" s="203">
        <f>IF(($F$12-$F$16)&gt;0,($F$12-$F$16)*H51,IF($F$12=0,$F$11*H51,0))</f>
        <v>0</v>
      </c>
      <c r="I52" s="205"/>
      <c r="J52" s="205" t="s">
        <v>250</v>
      </c>
      <c r="K52" s="213">
        <f>F10*K51</f>
        <v>0</v>
      </c>
      <c r="L52" s="205" t="s">
        <v>251</v>
      </c>
      <c r="M52" s="203">
        <f>IF(($F$12-$F$16)&gt;0,($F$12-$F$16)*M51,IF($F$12=0,$F$11*M51,0))</f>
        <v>0</v>
      </c>
      <c r="W52" s="49"/>
      <c r="X52" s="49"/>
      <c r="Y52" s="64"/>
      <c r="Z52" s="49"/>
      <c r="AA52" s="49"/>
      <c r="AB52" s="64"/>
      <c r="AC52" s="49"/>
      <c r="AD52" s="49"/>
      <c r="AE52" s="47"/>
      <c r="AF52" s="46"/>
      <c r="AH52" s="46"/>
      <c r="AI52" s="88"/>
      <c r="AJ52" s="88"/>
    </row>
    <row r="53" spans="5:36" ht="13.5" hidden="1" customHeight="1">
      <c r="K53" s="214"/>
      <c r="W53" s="49"/>
      <c r="X53" s="49"/>
      <c r="Y53" s="64"/>
      <c r="Z53" s="49"/>
      <c r="AA53" s="49"/>
      <c r="AB53" s="64"/>
      <c r="AC53" s="49"/>
      <c r="AD53" s="49"/>
      <c r="AE53" s="47"/>
      <c r="AF53" s="46"/>
      <c r="AH53" s="46"/>
      <c r="AI53" s="88"/>
      <c r="AJ53" s="88"/>
    </row>
    <row r="54" spans="5:36" ht="13.5" hidden="1" customHeight="1">
      <c r="H54"/>
      <c r="K54" s="214"/>
      <c r="W54" s="49"/>
      <c r="X54" s="49"/>
      <c r="Y54" s="64"/>
      <c r="Z54" s="49"/>
      <c r="AA54" s="49"/>
      <c r="AB54" s="64"/>
      <c r="AC54" s="49"/>
      <c r="AD54" s="49"/>
      <c r="AE54" s="47"/>
      <c r="AF54" s="46"/>
      <c r="AH54" s="46"/>
      <c r="AI54" s="88"/>
      <c r="AJ54" s="88"/>
    </row>
    <row r="55" spans="5:36" ht="13.5" hidden="1" customHeight="1">
      <c r="G55" s="193">
        <v>1</v>
      </c>
      <c r="K55" s="214"/>
      <c r="L55" s="193">
        <v>1</v>
      </c>
      <c r="W55" s="49"/>
      <c r="X55" s="49"/>
      <c r="Y55" s="64"/>
      <c r="Z55" s="49"/>
      <c r="AA55" s="49"/>
      <c r="AB55" s="64"/>
      <c r="AC55" s="49"/>
      <c r="AD55" s="49"/>
      <c r="AE55" s="47"/>
      <c r="AF55" s="46"/>
      <c r="AH55" s="46"/>
      <c r="AI55" s="88"/>
      <c r="AJ55" s="88"/>
    </row>
    <row r="56" spans="5:36" ht="13.5" hidden="1" customHeight="1" thickBot="1">
      <c r="K56" s="214"/>
      <c r="W56" s="49"/>
      <c r="X56" s="49"/>
      <c r="Y56" s="64"/>
      <c r="Z56" s="49"/>
      <c r="AA56" s="49"/>
      <c r="AB56" s="64"/>
      <c r="AC56" s="49"/>
      <c r="AD56" s="49"/>
      <c r="AE56" s="47"/>
      <c r="AF56" s="46"/>
      <c r="AH56" s="46"/>
      <c r="AI56" s="88"/>
      <c r="AJ56" s="88"/>
    </row>
    <row r="57" spans="5:36" ht="13.5" hidden="1" customHeight="1" thickBot="1">
      <c r="E57" s="178" t="s">
        <v>87</v>
      </c>
      <c r="F57" s="248"/>
      <c r="G57" s="178" t="s">
        <v>87</v>
      </c>
      <c r="H57" s="248"/>
      <c r="J57" s="178" t="s">
        <v>87</v>
      </c>
      <c r="K57" s="249"/>
      <c r="L57" s="178" t="s">
        <v>87</v>
      </c>
      <c r="M57" s="248"/>
      <c r="W57" s="49"/>
      <c r="X57" s="49"/>
      <c r="Y57" s="64"/>
      <c r="Z57" s="49"/>
      <c r="AA57" s="49"/>
      <c r="AB57" s="64"/>
      <c r="AC57" s="49"/>
      <c r="AD57" s="49"/>
      <c r="AE57" s="47"/>
      <c r="AF57" s="46"/>
      <c r="AH57" s="46"/>
      <c r="AI57" s="88"/>
      <c r="AJ57" s="88"/>
    </row>
    <row r="58" spans="5:36" ht="13.5" hidden="1" customHeight="1" thickBot="1">
      <c r="E58" s="178" t="s">
        <v>250</v>
      </c>
      <c r="F58" s="203">
        <f>F10*F57</f>
        <v>0</v>
      </c>
      <c r="G58" s="194" t="s">
        <v>251</v>
      </c>
      <c r="H58" s="203">
        <f>IF(($F$12-$F$16)&gt;0,($F$12-$F$16)*H57,IF($F$12=0,$F$11*H57,0))</f>
        <v>0</v>
      </c>
      <c r="I58" s="194"/>
      <c r="J58" s="194" t="s">
        <v>250</v>
      </c>
      <c r="K58" s="213">
        <f>F10*K57</f>
        <v>0</v>
      </c>
      <c r="L58" s="194" t="s">
        <v>251</v>
      </c>
      <c r="M58" s="203">
        <f>IF(($F$12-$F$16)&gt;0,($F$12-$F$16)*M57,IF($F$12=0,$F$11*M57,0))</f>
        <v>0</v>
      </c>
      <c r="W58" s="49"/>
      <c r="X58" s="49"/>
      <c r="Y58" s="64"/>
      <c r="Z58" s="49"/>
      <c r="AA58" s="49"/>
      <c r="AB58" s="64"/>
      <c r="AC58" s="49"/>
      <c r="AD58" s="49"/>
      <c r="AE58" s="47"/>
      <c r="AF58" s="46"/>
      <c r="AH58" s="46"/>
      <c r="AI58" s="88"/>
      <c r="AJ58" s="88"/>
    </row>
    <row r="59" spans="5:36" ht="13.5" hidden="1" customHeight="1">
      <c r="K59" s="215"/>
      <c r="W59" s="49"/>
      <c r="X59" s="49"/>
      <c r="Y59" s="64"/>
      <c r="Z59" s="49"/>
      <c r="AA59" s="49"/>
      <c r="AB59" s="64"/>
      <c r="AC59" s="49"/>
      <c r="AD59" s="49"/>
      <c r="AE59" s="47"/>
      <c r="AF59" s="46"/>
      <c r="AH59" s="46"/>
      <c r="AI59" s="88"/>
      <c r="AJ59" s="88"/>
    </row>
    <row r="60" spans="5:36" ht="13.5" hidden="1" customHeight="1">
      <c r="K60" s="214"/>
      <c r="AE60" s="23"/>
      <c r="AF60" s="46"/>
      <c r="AH60" s="46"/>
      <c r="AI60" s="88"/>
      <c r="AJ60" s="88"/>
    </row>
    <row r="61" spans="5:36" ht="13.5" hidden="1" customHeight="1">
      <c r="G61" s="193">
        <v>1</v>
      </c>
      <c r="K61" s="214"/>
      <c r="L61" s="193">
        <v>1</v>
      </c>
      <c r="T61" s="170" t="s">
        <v>266</v>
      </c>
      <c r="W61" s="171">
        <f>C4</f>
        <v>1</v>
      </c>
    </row>
    <row r="62" spans="5:36" ht="13.5" hidden="1" customHeight="1" thickBot="1">
      <c r="K62" s="214"/>
      <c r="T62" s="170" t="s">
        <v>267</v>
      </c>
      <c r="W62" s="171">
        <f>C4</f>
        <v>1</v>
      </c>
    </row>
    <row r="63" spans="5:36" ht="13.5" hidden="1" customHeight="1" thickBot="1">
      <c r="E63" s="178" t="s">
        <v>87</v>
      </c>
      <c r="F63" s="248"/>
      <c r="G63" s="178" t="s">
        <v>87</v>
      </c>
      <c r="H63" s="248"/>
      <c r="J63" s="178" t="s">
        <v>87</v>
      </c>
      <c r="K63" s="249"/>
      <c r="L63" s="178" t="s">
        <v>87</v>
      </c>
      <c r="M63" s="248"/>
    </row>
    <row r="64" spans="5:36" ht="13.5" hidden="1" customHeight="1" thickBot="1">
      <c r="E64" s="178" t="s">
        <v>250</v>
      </c>
      <c r="F64" s="203">
        <f>F10*F63</f>
        <v>0</v>
      </c>
      <c r="G64" s="194" t="s">
        <v>251</v>
      </c>
      <c r="H64" s="203">
        <f>IF(($F$12-$F$16)&gt;0,($F$12-$F$16)*H63,IF($F$12=0,$F$11*H63,0))</f>
        <v>0</v>
      </c>
      <c r="I64" s="194"/>
      <c r="J64" s="194" t="s">
        <v>250</v>
      </c>
      <c r="K64" s="213">
        <f>F10*K63</f>
        <v>0</v>
      </c>
      <c r="L64" s="194" t="s">
        <v>251</v>
      </c>
      <c r="M64" s="203">
        <f>IF(($F$12-$F$16)&gt;0,($F$12-$F$16)*M63,IF($F$12=0,$F$11*M63,0))</f>
        <v>0</v>
      </c>
    </row>
    <row r="65" spans="1:36" ht="13.5" hidden="1" customHeight="1">
      <c r="K65" s="214"/>
    </row>
    <row r="66" spans="1:36" ht="13.5" hidden="1" customHeight="1">
      <c r="K66" s="214"/>
    </row>
    <row r="67" spans="1:36" ht="13.5" hidden="1" customHeight="1" thickBot="1">
      <c r="G67" s="193">
        <v>1</v>
      </c>
      <c r="K67" s="214"/>
      <c r="L67" s="193">
        <v>1</v>
      </c>
      <c r="T67">
        <v>1</v>
      </c>
      <c r="X67">
        <v>3</v>
      </c>
      <c r="AD67">
        <v>6</v>
      </c>
    </row>
    <row r="68" spans="1:36" ht="13.5" hidden="1" customHeight="1" thickBot="1">
      <c r="K68" s="214"/>
      <c r="T68" s="37"/>
      <c r="U68" s="287" t="s">
        <v>5</v>
      </c>
      <c r="V68" s="287"/>
      <c r="W68" s="288"/>
      <c r="X68" s="41"/>
      <c r="Y68" s="48"/>
      <c r="Z68" s="280" t="s">
        <v>5</v>
      </c>
      <c r="AA68" s="280"/>
      <c r="AB68" s="280"/>
      <c r="AC68" s="289"/>
      <c r="AD68" s="37"/>
      <c r="AE68" s="287" t="s">
        <v>7</v>
      </c>
      <c r="AF68" s="287"/>
      <c r="AG68" s="288"/>
      <c r="AH68" s="38"/>
      <c r="AI68" s="280"/>
      <c r="AJ68" s="280"/>
    </row>
    <row r="69" spans="1:36" ht="13.5" hidden="1" customHeight="1" thickBot="1">
      <c r="E69" s="178" t="s">
        <v>87</v>
      </c>
      <c r="F69" s="248"/>
      <c r="G69" s="178" t="s">
        <v>87</v>
      </c>
      <c r="H69" s="248"/>
      <c r="J69" s="178" t="s">
        <v>87</v>
      </c>
      <c r="K69" s="249"/>
      <c r="L69" s="178" t="s">
        <v>87</v>
      </c>
      <c r="M69" s="248"/>
      <c r="T69" s="38"/>
      <c r="U69" s="280" t="s">
        <v>4</v>
      </c>
      <c r="V69" s="280"/>
      <c r="W69" s="289"/>
      <c r="X69" s="39"/>
      <c r="Y69" s="27"/>
      <c r="Z69" s="280" t="s">
        <v>6</v>
      </c>
      <c r="AA69" s="280"/>
      <c r="AB69" s="280"/>
      <c r="AC69" s="289"/>
      <c r="AD69" s="38"/>
      <c r="AE69" s="280" t="s">
        <v>4</v>
      </c>
      <c r="AF69" s="280"/>
      <c r="AG69" s="289"/>
      <c r="AH69" s="39"/>
      <c r="AI69" s="280" t="s">
        <v>8</v>
      </c>
      <c r="AJ69" s="280"/>
    </row>
    <row r="70" spans="1:36" ht="13.5" hidden="1" customHeight="1" thickBot="1">
      <c r="A70" s="131"/>
      <c r="B70" s="131"/>
      <c r="C70" s="131"/>
      <c r="E70" s="178" t="s">
        <v>250</v>
      </c>
      <c r="F70" s="203">
        <f>F10*F69</f>
        <v>0</v>
      </c>
      <c r="G70" s="194" t="s">
        <v>251</v>
      </c>
      <c r="H70" s="203">
        <f>IF(($F$12-$F$16)&gt;0,($F$12-$F$16)*H69,IF($F$12=0,$F$11*H69,0))</f>
        <v>0</v>
      </c>
      <c r="I70" s="194"/>
      <c r="J70" s="194" t="s">
        <v>250</v>
      </c>
      <c r="K70" s="213">
        <f>F10*K69</f>
        <v>0</v>
      </c>
      <c r="L70" s="194" t="s">
        <v>251</v>
      </c>
      <c r="M70" s="203">
        <f>IF(($F$12-$F$16)&gt;0,($F$12-$F$16)*M69,IF($F$12=0,$F$11*M69,0))</f>
        <v>0</v>
      </c>
      <c r="T70" s="38" t="s">
        <v>263</v>
      </c>
      <c r="U70" s="35" t="s">
        <v>250</v>
      </c>
      <c r="V70" s="35" t="s">
        <v>251</v>
      </c>
      <c r="W70" s="36"/>
      <c r="X70" s="38" t="s">
        <v>263</v>
      </c>
      <c r="Y70" s="35"/>
      <c r="Z70" s="35" t="s">
        <v>250</v>
      </c>
      <c r="AA70" s="35" t="s">
        <v>251</v>
      </c>
      <c r="AB70" s="35"/>
      <c r="AC70" s="36"/>
      <c r="AD70" s="38" t="s">
        <v>263</v>
      </c>
      <c r="AE70" s="35" t="s">
        <v>250</v>
      </c>
      <c r="AF70" s="35" t="s">
        <v>251</v>
      </c>
      <c r="AG70" s="36"/>
      <c r="AH70" s="38" t="s">
        <v>263</v>
      </c>
      <c r="AI70" s="35" t="s">
        <v>250</v>
      </c>
      <c r="AJ70" s="35" t="s">
        <v>251</v>
      </c>
    </row>
    <row r="71" spans="1:36" hidden="1">
      <c r="A71" s="131"/>
      <c r="B71" s="131"/>
      <c r="C71" s="131"/>
      <c r="T71" s="39"/>
      <c r="U71" s="27"/>
      <c r="V71" s="27"/>
      <c r="W71" s="29"/>
      <c r="X71" s="39"/>
      <c r="Y71" s="26"/>
      <c r="Z71" s="24"/>
      <c r="AA71" s="25"/>
      <c r="AB71" s="25"/>
      <c r="AC71" s="44"/>
      <c r="AD71" s="39"/>
      <c r="AE71" s="27"/>
      <c r="AF71" s="27"/>
      <c r="AG71" s="29"/>
      <c r="AH71" s="39"/>
      <c r="AI71" s="24"/>
      <c r="AJ71" s="25"/>
    </row>
    <row r="72" spans="1:36" ht="12.75" hidden="1" customHeight="1">
      <c r="A72" s="131"/>
      <c r="B72" s="131"/>
      <c r="C72" s="131"/>
      <c r="E72" s="182"/>
      <c r="F72" s="131"/>
      <c r="G72" s="182"/>
      <c r="H72" s="132"/>
      <c r="I72" s="182"/>
      <c r="J72" s="182"/>
      <c r="T72" s="39"/>
      <c r="U72" s="27"/>
      <c r="V72" s="27"/>
      <c r="W72" s="29"/>
      <c r="X72" s="39"/>
      <c r="Y72" s="26"/>
      <c r="Z72" s="26"/>
      <c r="AA72" s="27"/>
      <c r="AB72" s="27"/>
      <c r="AC72" s="32"/>
      <c r="AD72" s="39"/>
      <c r="AE72" s="27"/>
      <c r="AF72" s="27"/>
      <c r="AG72" s="29"/>
      <c r="AH72" s="39"/>
      <c r="AI72" s="26"/>
      <c r="AJ72" s="27"/>
    </row>
    <row r="73" spans="1:36" ht="8.25" hidden="1" customHeight="1">
      <c r="A73" s="131"/>
      <c r="B73" s="131"/>
      <c r="C73" s="131"/>
      <c r="E73" s="182"/>
      <c r="F73" s="131"/>
      <c r="G73" s="182"/>
      <c r="H73" s="132"/>
      <c r="I73" s="182"/>
      <c r="J73" s="182"/>
      <c r="T73" s="39" t="s">
        <v>264</v>
      </c>
      <c r="U73" s="27">
        <v>0</v>
      </c>
      <c r="V73" s="27"/>
      <c r="W73" s="32">
        <v>8.5000000000000006E-2</v>
      </c>
      <c r="X73" s="39" t="s">
        <v>264</v>
      </c>
      <c r="Y73" s="26"/>
      <c r="Z73" s="26">
        <v>0</v>
      </c>
      <c r="AA73" s="27"/>
      <c r="AB73" s="27"/>
      <c r="AC73" s="32">
        <v>8.5000000000000006E-2</v>
      </c>
      <c r="AD73" s="39" t="s">
        <v>264</v>
      </c>
      <c r="AE73" s="27">
        <v>0</v>
      </c>
      <c r="AF73" s="27"/>
      <c r="AG73" s="32"/>
      <c r="AH73" s="39" t="s">
        <v>264</v>
      </c>
      <c r="AI73" s="26">
        <v>0</v>
      </c>
      <c r="AJ73" s="126">
        <v>4.2500000000000003E-2</v>
      </c>
    </row>
    <row r="74" spans="1:36" s="49" customFormat="1" hidden="1">
      <c r="A74" s="265"/>
      <c r="B74" s="265"/>
      <c r="C74" s="134"/>
      <c r="D74"/>
      <c r="E74" s="183"/>
      <c r="F74" s="134"/>
      <c r="G74" s="183"/>
      <c r="H74" s="132"/>
      <c r="I74" s="182"/>
      <c r="J74" s="187"/>
      <c r="K74" s="93"/>
      <c r="L74" s="93"/>
      <c r="T74" s="50"/>
      <c r="U74" s="51"/>
      <c r="V74" s="51"/>
      <c r="W74" s="52"/>
      <c r="X74" s="50"/>
      <c r="Y74" s="53"/>
      <c r="Z74" s="53"/>
      <c r="AA74" s="51"/>
      <c r="AB74" s="51"/>
      <c r="AC74" s="54"/>
      <c r="AD74" s="50"/>
      <c r="AE74" s="51"/>
      <c r="AF74" s="51"/>
      <c r="AG74" s="52"/>
      <c r="AH74" s="50"/>
      <c r="AI74" s="53"/>
      <c r="AJ74" s="51"/>
    </row>
    <row r="75" spans="1:36" s="49" customFormat="1" ht="13.5" hidden="1" thickBot="1">
      <c r="A75" s="211" t="s">
        <v>248</v>
      </c>
      <c r="B75" s="136"/>
      <c r="C75" s="136"/>
      <c r="D75"/>
      <c r="E75" s="184"/>
      <c r="F75" s="136"/>
      <c r="G75" s="195" t="str">
        <f>IF(W9&lt;&gt;1,"ERREUR Veuillez corriger les parts réparties",W4)</f>
        <v>ERREUR Veuillez corriger les parts réparties</v>
      </c>
      <c r="H75" s="135" t="s">
        <v>254</v>
      </c>
      <c r="I75" s="197">
        <f>-1+W9</f>
        <v>-1</v>
      </c>
      <c r="J75" s="187"/>
      <c r="K75" s="93"/>
      <c r="L75" s="93"/>
      <c r="T75" s="50" t="s">
        <v>120</v>
      </c>
      <c r="U75" s="55">
        <v>1.6000000000000001E-3</v>
      </c>
      <c r="V75" s="51"/>
      <c r="W75" s="52"/>
      <c r="X75" s="50" t="s">
        <v>120</v>
      </c>
      <c r="Y75" s="53"/>
      <c r="Z75" s="53" t="s">
        <v>10</v>
      </c>
      <c r="AA75" s="51"/>
      <c r="AB75" s="51"/>
      <c r="AC75" s="56">
        <v>170</v>
      </c>
      <c r="AD75" s="50" t="s">
        <v>120</v>
      </c>
      <c r="AE75" s="210">
        <v>2.5500000000000002E-3</v>
      </c>
      <c r="AG75" s="52"/>
      <c r="AH75" s="50" t="s">
        <v>120</v>
      </c>
      <c r="AI75" s="53" t="s">
        <v>10</v>
      </c>
      <c r="AJ75" s="51"/>
    </row>
    <row r="76" spans="1:36" s="49" customFormat="1" hidden="1">
      <c r="A76" s="138"/>
      <c r="B76" s="139"/>
      <c r="C76" s="139"/>
      <c r="D76"/>
      <c r="E76" s="185"/>
      <c r="F76" s="139"/>
      <c r="G76" s="185"/>
      <c r="H76" s="137"/>
      <c r="I76" s="198"/>
      <c r="J76" s="187"/>
      <c r="K76" s="93"/>
      <c r="L76" s="93"/>
      <c r="T76" s="50"/>
      <c r="U76" s="51"/>
      <c r="V76" s="51"/>
      <c r="W76" s="52"/>
      <c r="X76" s="50"/>
      <c r="Y76" s="53"/>
      <c r="Z76" s="53">
        <v>499999999</v>
      </c>
      <c r="AA76" s="51"/>
      <c r="AB76" s="51"/>
      <c r="AC76" s="209">
        <v>1.7000000000000001E-4</v>
      </c>
      <c r="AD76" s="50" t="s">
        <v>12</v>
      </c>
      <c r="AE76" s="57">
        <v>0</v>
      </c>
      <c r="AF76" s="51"/>
      <c r="AG76" s="52"/>
      <c r="AH76" s="50"/>
      <c r="AI76" s="53">
        <v>499999999</v>
      </c>
      <c r="AJ76" s="51"/>
    </row>
    <row r="77" spans="1:36" s="49" customFormat="1" ht="13.5" hidden="1" thickBot="1">
      <c r="A77" s="141" t="s">
        <v>252</v>
      </c>
      <c r="B77" s="142"/>
      <c r="C77" s="142"/>
      <c r="D77"/>
      <c r="E77" s="186"/>
      <c r="F77" s="142"/>
      <c r="G77" s="195" t="str">
        <f>IF((L22+H29+M29+H34+M34+H39+M39+H45+M45+H51+M51+H57+M57+H63+M63+H69+M69)&lt;&gt;1,"ERREUR Veuillez corriger les parts réparties",L22+H29+M29+H34+M34+H39+M39+H45+M45+H51+M51+H57+M57+H63+M63+H69+M69)</f>
        <v>ERREUR Veuillez corriger les parts réparties</v>
      </c>
      <c r="H77" s="140" t="s">
        <v>253</v>
      </c>
      <c r="I77" s="199">
        <f>-1+W4</f>
        <v>-1</v>
      </c>
      <c r="J77" s="187"/>
      <c r="K77" s="93"/>
      <c r="L77" s="93"/>
      <c r="T77" s="50"/>
      <c r="U77" s="51"/>
      <c r="V77" s="51"/>
      <c r="W77" s="52"/>
      <c r="X77" s="50"/>
      <c r="Y77" s="53"/>
      <c r="Z77" s="53">
        <v>500000000</v>
      </c>
      <c r="AA77" s="51"/>
      <c r="AB77" s="51"/>
      <c r="AC77" s="209">
        <v>8.0000000000000007E-5</v>
      </c>
      <c r="AD77" s="50"/>
      <c r="AE77" s="51"/>
      <c r="AF77" s="51"/>
      <c r="AG77" s="52"/>
      <c r="AH77" s="50"/>
      <c r="AI77" s="53">
        <v>500000000</v>
      </c>
      <c r="AJ77" s="51"/>
    </row>
    <row r="78" spans="1:36" hidden="1">
      <c r="A78" s="131"/>
      <c r="B78" s="131"/>
      <c r="C78" s="131"/>
      <c r="E78" s="187"/>
      <c r="F78" s="133"/>
      <c r="G78" s="187"/>
      <c r="H78" s="143"/>
      <c r="I78" s="200"/>
      <c r="J78" s="182"/>
      <c r="T78" s="39"/>
      <c r="U78" s="27"/>
      <c r="V78" s="27"/>
      <c r="W78" s="29"/>
      <c r="X78" s="39"/>
      <c r="Y78" s="26"/>
      <c r="Z78" s="26"/>
      <c r="AA78" s="27"/>
      <c r="AB78" s="27"/>
      <c r="AC78" s="32"/>
      <c r="AD78" s="39"/>
      <c r="AE78" s="27"/>
      <c r="AF78" s="27"/>
      <c r="AG78" s="29"/>
      <c r="AH78" s="39"/>
      <c r="AI78" s="26"/>
      <c r="AJ78" s="27"/>
    </row>
    <row r="79" spans="1:36" hidden="1">
      <c r="A79" s="49"/>
      <c r="B79" s="49"/>
      <c r="C79" s="49"/>
      <c r="H79" s="132"/>
      <c r="I79" s="182"/>
      <c r="T79" s="39"/>
      <c r="U79" s="27"/>
      <c r="V79" s="27"/>
      <c r="W79" s="29"/>
      <c r="X79" s="39"/>
      <c r="Y79" s="26"/>
      <c r="Z79" s="26"/>
      <c r="AA79" s="27"/>
      <c r="AB79" s="27"/>
      <c r="AC79" s="32"/>
      <c r="AD79" s="39"/>
      <c r="AE79" s="27"/>
      <c r="AF79" s="27"/>
      <c r="AG79" s="29"/>
      <c r="AH79" s="39"/>
      <c r="AI79" s="26"/>
      <c r="AJ79" s="27"/>
    </row>
    <row r="80" spans="1:36" hidden="1">
      <c r="T80" s="39"/>
      <c r="U80" s="27"/>
      <c r="V80" s="27" t="s">
        <v>265</v>
      </c>
      <c r="W80" s="33">
        <v>4.2000000000000003E-2</v>
      </c>
      <c r="X80" s="39"/>
      <c r="Y80" s="26"/>
      <c r="Z80" s="26"/>
      <c r="AA80" s="27" t="s">
        <v>265</v>
      </c>
      <c r="AB80" s="27"/>
      <c r="AC80" s="33">
        <v>4.2000000000000003E-2</v>
      </c>
      <c r="AD80" s="39"/>
      <c r="AE80" s="27" t="s">
        <v>265</v>
      </c>
      <c r="AF80" s="33">
        <v>4.2000000000000003E-2</v>
      </c>
      <c r="AG80" s="33"/>
      <c r="AH80" s="39"/>
      <c r="AI80" s="26"/>
      <c r="AJ80" s="27" t="s">
        <v>265</v>
      </c>
    </row>
    <row r="81" spans="1:36" s="45" customFormat="1" hidden="1">
      <c r="A81"/>
      <c r="B81"/>
      <c r="C81"/>
      <c r="D81"/>
      <c r="E81" s="178"/>
      <c r="F81"/>
      <c r="G81" s="178"/>
      <c r="H81" s="21"/>
      <c r="I81" s="178"/>
      <c r="J81" s="93"/>
      <c r="K81" s="93"/>
      <c r="L81" s="93"/>
      <c r="T81" s="80"/>
      <c r="U81" s="81"/>
      <c r="V81" s="81" t="s">
        <v>9</v>
      </c>
      <c r="W81" s="82">
        <v>0.128</v>
      </c>
      <c r="X81" s="80"/>
      <c r="Y81" s="83"/>
      <c r="Z81" s="83"/>
      <c r="AA81" s="81" t="s">
        <v>9</v>
      </c>
      <c r="AB81" s="81"/>
      <c r="AC81" s="82">
        <v>0.128</v>
      </c>
      <c r="AD81" s="80"/>
      <c r="AE81" s="81" t="s">
        <v>9</v>
      </c>
      <c r="AF81" s="82">
        <v>0.128</v>
      </c>
      <c r="AG81" s="84"/>
      <c r="AH81" s="80"/>
      <c r="AI81" s="83"/>
      <c r="AJ81" s="81" t="s">
        <v>9</v>
      </c>
    </row>
    <row r="82" spans="1:36" s="45" customFormat="1" hidden="1">
      <c r="A82"/>
      <c r="B82"/>
      <c r="C82"/>
      <c r="D82"/>
      <c r="E82" s="93"/>
      <c r="G82" s="93"/>
      <c r="H82" s="66"/>
      <c r="I82" s="93"/>
      <c r="J82" s="93"/>
      <c r="K82" s="93"/>
      <c r="L82" s="93"/>
      <c r="T82" s="80"/>
      <c r="U82" s="81"/>
      <c r="V82" s="81" t="s">
        <v>11</v>
      </c>
      <c r="W82" s="85">
        <v>8.5000000000000006E-2</v>
      </c>
      <c r="X82" s="80"/>
      <c r="Y82" s="83"/>
      <c r="Z82" s="83"/>
      <c r="AA82" s="81" t="s">
        <v>11</v>
      </c>
      <c r="AB82" s="81"/>
      <c r="AC82" s="85">
        <v>8.5000000000000006E-2</v>
      </c>
      <c r="AD82" s="80"/>
      <c r="AE82" s="81" t="s">
        <v>11</v>
      </c>
      <c r="AF82" s="85">
        <v>8.5000000000000006E-2</v>
      </c>
      <c r="AG82" s="84"/>
      <c r="AH82" s="80"/>
      <c r="AI82" s="83"/>
      <c r="AJ82" s="81" t="s">
        <v>11</v>
      </c>
    </row>
    <row r="83" spans="1:36">
      <c r="A83" s="45"/>
      <c r="B83" s="45"/>
      <c r="C83" s="45"/>
      <c r="E83" s="93"/>
      <c r="F83" s="45"/>
      <c r="G83" s="93"/>
      <c r="H83" s="66"/>
      <c r="I83" s="93"/>
      <c r="T83" s="39"/>
      <c r="U83" s="27"/>
      <c r="V83" s="27"/>
      <c r="W83" s="29"/>
      <c r="X83" s="39"/>
      <c r="Y83" s="26"/>
      <c r="Z83" s="26"/>
      <c r="AA83" s="27"/>
      <c r="AB83" s="27"/>
      <c r="AC83" s="32"/>
      <c r="AD83" s="39"/>
      <c r="AE83" s="28" t="s">
        <v>13</v>
      </c>
      <c r="AF83" s="42">
        <v>0.01</v>
      </c>
      <c r="AG83" s="29"/>
      <c r="AH83" s="39"/>
      <c r="AI83" s="26"/>
      <c r="AJ83" s="27"/>
    </row>
    <row r="84" spans="1:36">
      <c r="A84" s="45"/>
      <c r="B84" s="45"/>
      <c r="C84" s="45"/>
      <c r="T84" s="39"/>
      <c r="U84" s="27"/>
      <c r="V84" s="27"/>
      <c r="W84" s="29"/>
      <c r="X84" s="39"/>
      <c r="Y84" s="26"/>
      <c r="Z84" s="26"/>
      <c r="AA84" s="27"/>
      <c r="AB84" s="27"/>
      <c r="AC84" s="32"/>
      <c r="AD84" s="39"/>
      <c r="AE84" s="28" t="s">
        <v>10</v>
      </c>
      <c r="AF84" s="27">
        <v>4999</v>
      </c>
      <c r="AG84" s="29"/>
      <c r="AH84" s="39"/>
      <c r="AI84" s="26"/>
      <c r="AJ84" s="27"/>
    </row>
    <row r="85" spans="1:36">
      <c r="T85" s="39"/>
      <c r="U85" s="27"/>
      <c r="V85" s="27"/>
      <c r="W85" s="29"/>
      <c r="X85" s="39"/>
      <c r="Y85" s="26"/>
      <c r="Z85" s="26"/>
      <c r="AA85" s="27"/>
      <c r="AB85" s="27"/>
      <c r="AC85" s="32"/>
      <c r="AD85" s="39"/>
      <c r="AE85" s="27"/>
      <c r="AF85" s="27"/>
      <c r="AG85" s="29"/>
      <c r="AH85" s="39"/>
      <c r="AI85" s="26"/>
      <c r="AJ85" s="27"/>
    </row>
    <row r="86" spans="1:36">
      <c r="T86" s="39"/>
      <c r="U86" s="27"/>
      <c r="V86" s="27"/>
      <c r="W86" s="29"/>
      <c r="X86" s="39"/>
      <c r="Y86" s="26"/>
      <c r="Z86" s="26"/>
      <c r="AA86" s="27"/>
      <c r="AB86" s="27"/>
      <c r="AC86" s="32"/>
      <c r="AD86" s="39"/>
      <c r="AE86" s="27"/>
      <c r="AF86" s="27"/>
      <c r="AG86" s="29"/>
      <c r="AH86" s="39"/>
      <c r="AI86" s="26"/>
      <c r="AJ86" s="27"/>
    </row>
    <row r="87" spans="1:36">
      <c r="T87" s="39"/>
      <c r="U87" s="27"/>
      <c r="V87" s="27"/>
      <c r="W87" s="29"/>
      <c r="X87" s="39"/>
      <c r="Y87" s="26"/>
      <c r="Z87" s="26"/>
      <c r="AA87" s="27"/>
      <c r="AB87" s="27"/>
      <c r="AC87" s="32"/>
      <c r="AD87" s="39"/>
      <c r="AE87" s="27"/>
      <c r="AF87" s="27"/>
      <c r="AG87" s="29"/>
      <c r="AH87" s="39"/>
      <c r="AI87" s="26"/>
      <c r="AJ87" s="27"/>
    </row>
    <row r="88" spans="1:36">
      <c r="T88" s="39"/>
      <c r="U88" s="27"/>
      <c r="V88" s="27"/>
      <c r="W88" s="29"/>
      <c r="X88" s="39"/>
      <c r="Y88" s="26"/>
      <c r="Z88" s="26"/>
      <c r="AA88" s="27"/>
      <c r="AB88" s="27"/>
      <c r="AC88" s="32"/>
      <c r="AD88" s="39"/>
      <c r="AE88" s="27"/>
      <c r="AF88" s="27"/>
      <c r="AG88" s="29"/>
      <c r="AH88" s="39"/>
      <c r="AI88" s="26"/>
      <c r="AJ88" s="27"/>
    </row>
    <row r="89" spans="1:36">
      <c r="T89" s="39"/>
      <c r="U89" s="27"/>
      <c r="V89" s="27"/>
      <c r="W89" s="29"/>
      <c r="X89" s="39"/>
      <c r="Y89" s="26"/>
      <c r="Z89" s="26"/>
      <c r="AA89" s="27"/>
      <c r="AB89" s="27"/>
      <c r="AC89" s="32"/>
      <c r="AD89" s="39"/>
      <c r="AE89" s="27"/>
      <c r="AF89" s="27"/>
      <c r="AG89" s="29"/>
      <c r="AH89" s="39"/>
      <c r="AI89" s="26"/>
      <c r="AJ89" s="27"/>
    </row>
    <row r="90" spans="1:36">
      <c r="T90" s="39"/>
      <c r="U90" s="27"/>
      <c r="V90" s="27"/>
      <c r="W90" s="29"/>
      <c r="X90" s="39"/>
      <c r="Y90" s="26"/>
      <c r="Z90" s="26"/>
      <c r="AA90" s="27"/>
      <c r="AB90" s="27"/>
      <c r="AC90" s="32"/>
      <c r="AD90" s="39"/>
      <c r="AE90" s="27"/>
      <c r="AF90" s="27"/>
      <c r="AG90" s="29"/>
      <c r="AH90" s="39"/>
      <c r="AI90" s="26"/>
      <c r="AJ90" s="27"/>
    </row>
    <row r="91" spans="1:36">
      <c r="T91" s="39"/>
      <c r="U91" s="27"/>
      <c r="V91" s="27"/>
      <c r="W91" s="29"/>
      <c r="X91" s="39"/>
      <c r="Y91" s="26"/>
      <c r="Z91" s="26"/>
      <c r="AA91" s="27"/>
      <c r="AB91" s="27"/>
      <c r="AC91" s="32"/>
      <c r="AD91" s="39"/>
      <c r="AE91" s="27"/>
      <c r="AF91" s="27"/>
      <c r="AG91" s="29"/>
      <c r="AH91" s="39"/>
      <c r="AI91" s="26"/>
      <c r="AJ91" s="27"/>
    </row>
    <row r="92" spans="1:36" ht="13.5" thickBot="1">
      <c r="T92" s="40"/>
      <c r="U92" s="31"/>
      <c r="V92" s="31"/>
      <c r="W92" s="34"/>
      <c r="X92" s="40"/>
      <c r="Y92" s="30"/>
      <c r="Z92" s="30"/>
      <c r="AA92" s="31"/>
      <c r="AB92" s="31"/>
      <c r="AC92" s="43"/>
      <c r="AD92" s="40"/>
      <c r="AE92" s="31"/>
      <c r="AF92" s="31"/>
      <c r="AG92" s="34"/>
      <c r="AH92" s="40"/>
      <c r="AI92" s="30"/>
      <c r="AJ92" s="31"/>
    </row>
    <row r="94" spans="1:36" s="45" customFormat="1">
      <c r="A94"/>
      <c r="B94"/>
      <c r="C94"/>
      <c r="D94"/>
      <c r="E94" s="178"/>
      <c r="F94"/>
      <c r="G94" s="178"/>
      <c r="H94" s="21"/>
      <c r="I94" s="178"/>
      <c r="J94" s="93"/>
      <c r="K94" s="93"/>
      <c r="L94" s="93"/>
      <c r="T94" s="45" t="s">
        <v>16</v>
      </c>
      <c r="AC94" s="67">
        <f>IF(F19=0,F10,(F10*F19)/365)</f>
        <v>0</v>
      </c>
      <c r="AH94" s="45" t="s">
        <v>1</v>
      </c>
      <c r="AJ94" s="45">
        <f>G7</f>
        <v>1</v>
      </c>
    </row>
    <row r="95" spans="1:36" s="45" customFormat="1">
      <c r="A95"/>
      <c r="B95"/>
      <c r="C95"/>
      <c r="D95"/>
      <c r="E95" s="93"/>
      <c r="G95" s="93"/>
      <c r="H95" s="66"/>
      <c r="I95" s="93"/>
      <c r="J95" s="93"/>
      <c r="K95" s="93"/>
      <c r="L95" s="93"/>
      <c r="T95" s="45" t="s">
        <v>15</v>
      </c>
      <c r="AB95" s="45" t="s">
        <v>264</v>
      </c>
      <c r="AC95" s="68">
        <f>IF(F19=0,F11+AC96,((F11+AC96)/F19)*365)-F15</f>
        <v>0</v>
      </c>
      <c r="AD95" s="45" t="s">
        <v>160</v>
      </c>
      <c r="AE95" s="68">
        <f>IF(AC95+AD98=0,0,IF(AD98&lt;&gt;0,IF(F19=0,AD98,IF(AD98=AC97,AC95,((F12/F19)*365)-F16))))</f>
        <v>0</v>
      </c>
      <c r="AF95" s="74">
        <f>IF(AD98=0,1,IF(AC97=0,1,AD98/AC97))</f>
        <v>1</v>
      </c>
      <c r="AH95" s="45" t="s">
        <v>14</v>
      </c>
      <c r="AJ95" s="45">
        <f>G8</f>
        <v>1</v>
      </c>
    </row>
    <row r="96" spans="1:36" s="45" customFormat="1">
      <c r="D96"/>
      <c r="E96" s="93"/>
      <c r="G96" s="93"/>
      <c r="H96" s="66"/>
      <c r="I96" s="93"/>
      <c r="J96" s="93"/>
      <c r="K96" s="93"/>
      <c r="L96" s="93"/>
      <c r="U96" s="45" t="s">
        <v>17</v>
      </c>
      <c r="AC96" s="68">
        <f>F13</f>
        <v>0</v>
      </c>
    </row>
    <row r="97" spans="4:47" s="45" customFormat="1">
      <c r="D97"/>
      <c r="E97" s="93"/>
      <c r="G97" s="93"/>
      <c r="H97" s="66"/>
      <c r="I97" s="93"/>
      <c r="J97" s="93"/>
      <c r="K97" s="93"/>
      <c r="L97" s="93"/>
      <c r="U97" s="45" t="s">
        <v>127</v>
      </c>
      <c r="AC97" s="69">
        <f>IF(F11=0,0,F11-F15+F13)</f>
        <v>0</v>
      </c>
      <c r="AK97" s="128"/>
    </row>
    <row r="98" spans="4:47" s="45" customFormat="1">
      <c r="D98"/>
      <c r="E98" s="93"/>
      <c r="G98" s="93"/>
      <c r="H98" s="66"/>
      <c r="I98" s="93"/>
      <c r="J98" s="93"/>
      <c r="K98" s="93"/>
      <c r="L98" s="93"/>
      <c r="U98" s="45" t="s">
        <v>278</v>
      </c>
      <c r="AD98" s="68">
        <f>IF(F12&lt;&gt;0,F12-F16,AC97-AC96)</f>
        <v>0</v>
      </c>
      <c r="AE98" s="67">
        <f>MAX(AC95,AD98)</f>
        <v>0</v>
      </c>
      <c r="AK98" s="67"/>
    </row>
    <row r="99" spans="4:47" s="45" customFormat="1">
      <c r="D99"/>
      <c r="E99" s="93"/>
      <c r="G99" s="93"/>
      <c r="H99" s="66"/>
      <c r="I99" s="93"/>
      <c r="J99" s="93"/>
      <c r="K99" s="93"/>
      <c r="L99" s="93"/>
      <c r="X99" s="45" t="s">
        <v>5</v>
      </c>
      <c r="Z99" s="45" t="s">
        <v>7</v>
      </c>
    </row>
    <row r="100" spans="4:47" s="45" customFormat="1">
      <c r="D100"/>
      <c r="E100" s="93"/>
      <c r="G100" s="93"/>
      <c r="H100" s="66"/>
      <c r="I100" s="93"/>
      <c r="J100" s="93"/>
      <c r="K100" s="93"/>
      <c r="L100" s="93"/>
      <c r="T100" s="45" t="s">
        <v>279</v>
      </c>
      <c r="X100" s="45">
        <f>IF(AJ94&gt;1,0,IF(AJ94=1,IF(AJ95=1,1,IF(AJ94=1,IF(AJ95=2,2,IF(AJ94=1,IF(AJ95=3,2,0)))))))</f>
        <v>1</v>
      </c>
      <c r="Z100" s="45">
        <f>IF(AJ94=1,0,IF(AJ94=2,IF(AJ95=1,3,IF(AJ94=2,IF(AJ95=2,6,IF(AJ94=2,IF(AJ95=3,6,0)))))))</f>
        <v>0</v>
      </c>
      <c r="AC100" s="70" t="b">
        <f>IF(Z100=3,0,IF(Z100=6,IF(AC94&lt;850000,"min",IF(Z100=6,IF(AC94&gt;=850000,AC76),0))))</f>
        <v>0</v>
      </c>
      <c r="AD100" s="70"/>
      <c r="AJ100" s="67"/>
      <c r="AL100" s="67"/>
    </row>
    <row r="101" spans="4:47" s="45" customFormat="1">
      <c r="D101"/>
      <c r="E101" s="93"/>
      <c r="G101" s="93"/>
      <c r="H101" s="66"/>
      <c r="I101" s="93"/>
      <c r="J101" s="93"/>
      <c r="K101" s="93"/>
      <c r="L101" s="93"/>
      <c r="T101" s="45" t="s">
        <v>281</v>
      </c>
      <c r="X101" s="67">
        <f>IF(AJ94=2,0,IF(AJ95=1,0,-MAX(0,AC94-Z77)))</f>
        <v>0</v>
      </c>
      <c r="Y101" s="67"/>
      <c r="Z101" s="67">
        <f>IF(AJ94&lt;&gt;2,0,IF(AJ94=2,IF(AJ95=1,0,-MAX(0,(AC94-AI77)))))</f>
        <v>0</v>
      </c>
      <c r="AK101" s="67"/>
      <c r="AL101" s="75"/>
    </row>
    <row r="102" spans="4:47" s="45" customFormat="1">
      <c r="D102"/>
      <c r="E102" s="93"/>
      <c r="G102" s="93"/>
      <c r="H102" s="66"/>
      <c r="I102" s="93"/>
      <c r="J102" s="93"/>
      <c r="K102" s="93"/>
      <c r="L102" s="93"/>
      <c r="T102" s="45" t="s">
        <v>280</v>
      </c>
      <c r="X102" s="45" t="s">
        <v>250</v>
      </c>
      <c r="Z102" s="45" t="s">
        <v>250</v>
      </c>
      <c r="AC102" s="45" t="s">
        <v>154</v>
      </c>
      <c r="AF102" s="70">
        <f>IF(F19=0,1,F19/365)</f>
        <v>1</v>
      </c>
      <c r="AL102" s="67"/>
      <c r="AM102" s="67"/>
    </row>
    <row r="103" spans="4:47" s="45" customFormat="1">
      <c r="D103"/>
      <c r="E103" s="93"/>
      <c r="G103" s="93"/>
      <c r="H103" s="66"/>
      <c r="I103" s="93"/>
      <c r="J103" s="93"/>
      <c r="K103" s="93"/>
      <c r="L103" s="93"/>
      <c r="T103" s="45" t="s">
        <v>155</v>
      </c>
      <c r="X103" s="70">
        <f>IF(X100=0,0,IF(X100=1,U75,IF(X100=2,IF(AC94&lt;850000,"Min",IF(X100=2,IF(AC94&gt;=850000,AC76,0))))))</f>
        <v>1.6000000000000001E-3</v>
      </c>
      <c r="Y103" s="70"/>
      <c r="Z103" s="70" t="b">
        <f>IF(Z100&lt;&gt;0,IF(Z100=6,AC100,IF(Z100=3,IF(AC94&lt;100000,AE76,IF(Z100=3,IF(AC94&gt;=100000,AE75,0))))))</f>
        <v>0</v>
      </c>
      <c r="AC103" s="70"/>
    </row>
    <row r="104" spans="4:47" s="45" customFormat="1">
      <c r="D104"/>
      <c r="E104" s="93"/>
      <c r="G104" s="93"/>
      <c r="H104" s="66"/>
      <c r="I104" s="93"/>
      <c r="J104" s="93"/>
      <c r="K104" s="93"/>
      <c r="L104" s="93"/>
      <c r="X104" s="70"/>
      <c r="Y104" s="70"/>
      <c r="Z104" s="70"/>
      <c r="AI104" s="67">
        <f>AC95*(1+0.085+(0.05*(1+AN39)))+X109</f>
        <v>0</v>
      </c>
      <c r="AK104" s="68"/>
      <c r="AL104" s="67"/>
      <c r="AM104" s="112"/>
    </row>
    <row r="105" spans="4:47" s="45" customFormat="1">
      <c r="D105"/>
      <c r="E105" s="93"/>
      <c r="G105" s="93"/>
      <c r="H105" s="66"/>
      <c r="I105" s="93"/>
      <c r="J105" s="93"/>
      <c r="K105" s="93"/>
      <c r="L105" s="93"/>
      <c r="T105" s="45" t="s">
        <v>282</v>
      </c>
      <c r="X105" s="71">
        <f>IF(X103=0,0,IF(X103="Min",ROUND((170*AF102),0),ROUND((X103*(AC94+X101))-(X101*AC77),0)))</f>
        <v>0</v>
      </c>
      <c r="Y105" s="71"/>
      <c r="Z105" s="71">
        <f>IF(Z103=0,0,IF(Z103="Min",170,ROUND((Z103*(AC94+Z101))-(Z101*AC77),0)))</f>
        <v>0</v>
      </c>
      <c r="AI105" s="67"/>
      <c r="AL105" s="67"/>
      <c r="AM105" s="112"/>
    </row>
    <row r="106" spans="4:47" s="45" customFormat="1">
      <c r="D106"/>
      <c r="E106" s="93"/>
      <c r="G106" s="93"/>
      <c r="H106" s="66"/>
      <c r="I106" s="93"/>
      <c r="J106" s="93"/>
      <c r="K106" s="93"/>
      <c r="L106" s="93"/>
      <c r="X106" s="72">
        <f>X105+Z105</f>
        <v>0</v>
      </c>
      <c r="Y106" s="72"/>
      <c r="Z106" s="70"/>
      <c r="AI106"/>
      <c r="AJ106" s="67"/>
      <c r="AL106" s="75"/>
    </row>
    <row r="107" spans="4:47" s="45" customFormat="1" ht="13.5" thickBot="1">
      <c r="D107"/>
      <c r="E107" s="93"/>
      <c r="G107" s="93"/>
      <c r="H107" s="66"/>
      <c r="I107" s="93"/>
      <c r="J107" s="93"/>
      <c r="K107" s="93"/>
      <c r="L107" s="93"/>
      <c r="T107" s="45" t="s">
        <v>283</v>
      </c>
      <c r="X107" s="73">
        <f>AF39</f>
        <v>0</v>
      </c>
      <c r="Y107" s="70"/>
      <c r="Z107" s="70"/>
      <c r="AJ107" s="81"/>
    </row>
    <row r="108" spans="4:47" s="45" customFormat="1">
      <c r="D108"/>
      <c r="E108" s="93"/>
      <c r="G108" s="93"/>
      <c r="H108" s="66"/>
      <c r="I108" s="93"/>
      <c r="J108" s="93"/>
      <c r="K108" s="93"/>
      <c r="L108" s="93"/>
      <c r="T108" s="45" t="s">
        <v>152</v>
      </c>
      <c r="X108" s="73">
        <f>AH39</f>
        <v>0</v>
      </c>
      <c r="Y108" s="70"/>
      <c r="Z108" s="70"/>
      <c r="AC108" s="45" t="s">
        <v>158</v>
      </c>
      <c r="AI108" s="113" t="s">
        <v>268</v>
      </c>
      <c r="AJ108" s="102"/>
      <c r="AK108" s="102"/>
      <c r="AL108" s="102"/>
      <c r="AM108" s="102"/>
      <c r="AN108" s="102"/>
      <c r="AO108" s="102"/>
      <c r="AP108" s="173"/>
      <c r="AQ108" s="173"/>
      <c r="AR108" s="173"/>
      <c r="AS108" s="173"/>
      <c r="AT108" s="173"/>
      <c r="AU108" s="173"/>
    </row>
    <row r="109" spans="4:47" s="45" customFormat="1">
      <c r="D109"/>
      <c r="E109" s="93"/>
      <c r="G109" s="93"/>
      <c r="H109" s="66"/>
      <c r="I109" s="93"/>
      <c r="J109" s="93"/>
      <c r="K109" s="93"/>
      <c r="L109" s="93"/>
      <c r="T109" s="45" t="s">
        <v>153</v>
      </c>
      <c r="X109" s="67">
        <f>SUM(X106:X108)</f>
        <v>0</v>
      </c>
      <c r="AI109" s="104" t="s">
        <v>22</v>
      </c>
      <c r="AJ109" s="97"/>
      <c r="AK109" s="105" t="s">
        <v>23</v>
      </c>
      <c r="AL109" s="105"/>
      <c r="AM109" s="105"/>
      <c r="AN109" s="105"/>
      <c r="AO109" s="105"/>
      <c r="AP109" s="173"/>
      <c r="AQ109" s="173"/>
      <c r="AR109" s="173"/>
      <c r="AS109" s="173"/>
      <c r="AT109" s="173"/>
      <c r="AU109" s="173"/>
    </row>
    <row r="110" spans="4:47" s="45" customFormat="1">
      <c r="D110"/>
      <c r="E110" s="93"/>
      <c r="G110" s="93"/>
      <c r="H110" s="66"/>
      <c r="I110" s="93"/>
      <c r="J110" s="93"/>
      <c r="K110" s="93"/>
      <c r="L110" s="93"/>
      <c r="AC110" s="45">
        <v>0</v>
      </c>
      <c r="AD110" s="74">
        <v>0</v>
      </c>
      <c r="AI110" s="104" t="s">
        <v>24</v>
      </c>
      <c r="AJ110" s="107">
        <f>IF(AJ94=2,AC111*(1+(0.0425*W123)+(0.05*W123*(1+AN39)))+X109,AC111*(1+0.085*W123+(0.05*W123*(1+AN39)))+X109)</f>
        <v>28375</v>
      </c>
      <c r="AK110" s="105" t="s">
        <v>272</v>
      </c>
      <c r="AL110" s="105"/>
      <c r="AM110" s="107">
        <f>IF(AJ94=2,AC115*(1+(0.0425*W123)+(0.05*W123*(1+AN39)))+X109,AC115*(1+0.085*W123+(0.05*W123*(1+AN39)))+X109)</f>
        <v>5675</v>
      </c>
      <c r="AN110" s="105"/>
      <c r="AO110" s="105"/>
      <c r="AP110" s="173"/>
      <c r="AQ110" s="173"/>
      <c r="AR110" s="173"/>
      <c r="AS110" s="173"/>
      <c r="AT110" s="173"/>
      <c r="AU110" s="173"/>
    </row>
    <row r="111" spans="4:47" s="45" customFormat="1">
      <c r="D111"/>
      <c r="E111" s="93"/>
      <c r="G111" s="93"/>
      <c r="H111" s="66"/>
      <c r="I111" s="93"/>
      <c r="J111" s="93"/>
      <c r="K111" s="93"/>
      <c r="L111" s="93"/>
      <c r="X111" s="45" t="s">
        <v>5</v>
      </c>
      <c r="Z111" s="45" t="s">
        <v>7</v>
      </c>
      <c r="AC111" s="45">
        <v>25000</v>
      </c>
      <c r="AD111" s="74">
        <v>4.2000000000000003E-2</v>
      </c>
      <c r="AE111" s="92"/>
      <c r="AI111" s="104" t="s">
        <v>25</v>
      </c>
      <c r="AJ111" s="107">
        <f>IF(AJ94=2,AC112*(1+0.085*W123+(0.1*W123*(1+AN39)))+X109,AC112*(1+0.085*W123+(0.1*W123*(1+AN39)))+X109)</f>
        <v>59250</v>
      </c>
      <c r="AK111" s="105"/>
      <c r="AL111" s="105"/>
      <c r="AM111" s="105"/>
      <c r="AN111" s="105"/>
      <c r="AO111" s="105"/>
      <c r="AP111" s="173"/>
      <c r="AQ111" s="173"/>
      <c r="AR111" s="173"/>
      <c r="AS111" s="173"/>
      <c r="AT111" s="173"/>
      <c r="AU111" s="173"/>
    </row>
    <row r="112" spans="4:47" s="45" customFormat="1" ht="13.5" thickBot="1">
      <c r="D112"/>
      <c r="E112" s="93"/>
      <c r="G112" s="93"/>
      <c r="H112" s="66"/>
      <c r="I112" s="93"/>
      <c r="J112" s="93"/>
      <c r="K112" s="93"/>
      <c r="L112" s="93"/>
      <c r="T112" s="45" t="s">
        <v>156</v>
      </c>
      <c r="X112" s="45">
        <f>IF(AJ94&gt;1,0,IF(AJ94=1,IF(AJ95=1,1,IF(AJ94=1,IF(AJ95=2,2,IF(AJ94=1,IF(AJ95=3,2,0)))))))</f>
        <v>1</v>
      </c>
      <c r="Z112" s="45">
        <f>IF(AJ94=1,0,IF(AJ94=2,IF(AJ95=1,3,IF(AJ94=2,IF(AJ95=2,6,IF(AJ94=2,IF(AJ95=3,6,0)))))))</f>
        <v>0</v>
      </c>
      <c r="AC112" s="45">
        <v>50000</v>
      </c>
      <c r="AD112" s="74">
        <v>8.5000000000000006E-2</v>
      </c>
      <c r="AE112" s="92"/>
      <c r="AI112" s="108"/>
      <c r="AJ112" s="109"/>
      <c r="AK112" s="109"/>
      <c r="AL112" s="109"/>
      <c r="AM112" s="109"/>
      <c r="AN112" s="109"/>
      <c r="AO112" s="109"/>
      <c r="AP112" s="173"/>
      <c r="AQ112" s="173"/>
      <c r="AR112" s="173"/>
      <c r="AS112" s="173"/>
      <c r="AT112" s="173"/>
      <c r="AU112" s="173"/>
    </row>
    <row r="113" spans="4:47" s="45" customFormat="1">
      <c r="D113"/>
      <c r="E113" s="93"/>
      <c r="G113" s="93"/>
      <c r="H113" s="66"/>
      <c r="I113" s="93"/>
      <c r="J113" s="93"/>
      <c r="K113" s="93"/>
      <c r="L113" s="93"/>
      <c r="T113" s="45" t="s">
        <v>157</v>
      </c>
      <c r="AC113" s="45" t="s">
        <v>159</v>
      </c>
      <c r="AD113" s="74">
        <v>0.128</v>
      </c>
      <c r="AE113" s="74">
        <f>1/(1+AD113)/10</f>
        <v>8.8652482269503535E-2</v>
      </c>
      <c r="AP113" s="173"/>
      <c r="AQ113" s="173"/>
      <c r="AR113" s="173"/>
      <c r="AS113" s="173"/>
      <c r="AT113" s="173"/>
      <c r="AU113" s="173"/>
    </row>
    <row r="114" spans="4:47" s="45" customFormat="1">
      <c r="D114"/>
      <c r="E114" s="93"/>
      <c r="G114" s="93"/>
      <c r="H114" s="66"/>
      <c r="I114" s="93"/>
      <c r="J114" s="93"/>
      <c r="K114" s="93"/>
      <c r="L114" s="93"/>
      <c r="T114" s="45" t="s">
        <v>270</v>
      </c>
      <c r="X114" s="75"/>
      <c r="Z114" s="76"/>
      <c r="AD114" s="74"/>
      <c r="AI114" s="114" t="s">
        <v>242</v>
      </c>
      <c r="AK114" s="45">
        <f>IF(AE98&lt;AJ110,AD111,IF(AE98&gt;AJ111,AD112,((((AE98-AJ110)/(1+AD113)*AD113)+1250))))</f>
        <v>4.2000000000000003E-2</v>
      </c>
      <c r="AL114" s="111">
        <f>IF(AE98&lt;AJ110,AD111,IF(AE98&gt;AJ111,AD112,MIN(0.1,AF130)))</f>
        <v>4.2000000000000003E-2</v>
      </c>
    </row>
    <row r="115" spans="4:47" s="45" customFormat="1">
      <c r="D115"/>
      <c r="E115" s="93"/>
      <c r="G115" s="93"/>
      <c r="H115" s="66"/>
      <c r="I115" s="93"/>
      <c r="J115" s="93"/>
      <c r="K115" s="93"/>
      <c r="L115" s="93"/>
      <c r="T115" s="45" t="s">
        <v>161</v>
      </c>
      <c r="X115" s="96">
        <f>AL114</f>
        <v>4.2000000000000003E-2</v>
      </c>
      <c r="Y115" s="92"/>
      <c r="Z115" s="96">
        <f>AL114</f>
        <v>4.2000000000000003E-2</v>
      </c>
      <c r="AC115" s="45">
        <v>5000</v>
      </c>
      <c r="AD115" s="74"/>
      <c r="AL115" s="127"/>
    </row>
    <row r="116" spans="4:47" s="45" customFormat="1">
      <c r="D116"/>
      <c r="E116" s="93"/>
      <c r="G116" s="93"/>
      <c r="H116" s="66"/>
      <c r="I116" s="93"/>
      <c r="J116" s="93"/>
      <c r="K116" s="93"/>
      <c r="L116" s="93"/>
      <c r="X116" s="68"/>
      <c r="Y116" s="74"/>
      <c r="Z116" s="68"/>
      <c r="AD116" s="74"/>
      <c r="AE116" s="124"/>
      <c r="AK116" s="68">
        <f>(((AC95-AJ110)/(1+0.085+0.15*(AN39))*AD113)+1250)</f>
        <v>-2097.4654377880183</v>
      </c>
      <c r="AL116" s="68"/>
    </row>
    <row r="117" spans="4:47" s="45" customFormat="1">
      <c r="D117"/>
      <c r="E117" s="93"/>
      <c r="G117" s="93"/>
      <c r="H117" s="66"/>
      <c r="I117" s="93"/>
      <c r="J117" s="93"/>
      <c r="K117" s="93"/>
      <c r="L117" s="93"/>
      <c r="T117" s="45" t="s">
        <v>271</v>
      </c>
      <c r="X117" s="68">
        <f>IF(AJ94=2,0,IF(AJ95=2,0,IF(AE95&lt;&gt;AC95,AL139,IF(AC95&lt;&gt;AC97,AJ146,IF(AJ94=1,AJ124,0)))))</f>
        <v>0</v>
      </c>
      <c r="Y117" s="68"/>
      <c r="Z117" s="68">
        <f>IF(AJ94=1,0,IF(AD98&lt;6300,0,IF(AJ94=2,IF(AJ95=2,0,IF(AJ94=2,IF(AE95&lt;&gt;AC95,AL139,IF(AC95&lt;&gt;AC97,AJ146,IF(AJ124&lt;=AF84,0,AJ124))))))))</f>
        <v>0</v>
      </c>
      <c r="AE117" s="125"/>
      <c r="AF117" s="74"/>
      <c r="AL117" s="67"/>
    </row>
    <row r="118" spans="4:47" s="45" customFormat="1">
      <c r="D118"/>
      <c r="E118" s="93"/>
      <c r="G118" s="93"/>
      <c r="H118" s="66"/>
      <c r="I118" s="93"/>
      <c r="J118" s="93"/>
      <c r="K118" s="93"/>
      <c r="L118" s="93"/>
      <c r="T118" s="45" t="s">
        <v>246</v>
      </c>
      <c r="X118" s="68">
        <f>X115*X117</f>
        <v>0</v>
      </c>
      <c r="Y118" s="68"/>
      <c r="Z118" s="68">
        <f>Z117*Z115</f>
        <v>0</v>
      </c>
    </row>
    <row r="119" spans="4:47" s="45" customFormat="1" ht="13.5" thickBot="1">
      <c r="D119"/>
      <c r="E119" s="93"/>
      <c r="G119" s="93"/>
      <c r="H119" s="66"/>
      <c r="I119" s="93"/>
      <c r="J119" s="93"/>
      <c r="K119" s="93"/>
      <c r="L119" s="93"/>
      <c r="Y119" s="68"/>
      <c r="AE119" s="77"/>
    </row>
    <row r="120" spans="4:47" s="45" customFormat="1">
      <c r="D120"/>
      <c r="E120" s="93"/>
      <c r="G120" s="93"/>
      <c r="H120" s="66"/>
      <c r="I120" s="93"/>
      <c r="J120" s="93"/>
      <c r="K120" s="93"/>
      <c r="L120" s="93"/>
      <c r="T120" s="45" t="s">
        <v>163</v>
      </c>
      <c r="Y120" s="67"/>
      <c r="Z120" s="67">
        <f>AC96*AF120</f>
        <v>0</v>
      </c>
      <c r="AC120" s="45" t="s">
        <v>17</v>
      </c>
      <c r="AE120" s="87">
        <f>AF83</f>
        <v>0.01</v>
      </c>
      <c r="AF120" s="74">
        <f>IF(AC96=0,0,(AC96*AE120/((AC96+AC96*AE120))))</f>
        <v>0</v>
      </c>
      <c r="AI120" s="113" t="s">
        <v>269</v>
      </c>
      <c r="AJ120" s="102"/>
      <c r="AK120" s="102"/>
      <c r="AL120" s="102"/>
      <c r="AM120" s="102"/>
      <c r="AN120" s="103"/>
    </row>
    <row r="121" spans="4:47" s="45" customFormat="1">
      <c r="D121"/>
      <c r="E121" s="93"/>
      <c r="G121" s="93"/>
      <c r="H121" s="66"/>
      <c r="I121" s="93"/>
      <c r="J121" s="93"/>
      <c r="K121" s="93"/>
      <c r="L121" s="93"/>
      <c r="AI121" s="104" t="s">
        <v>22</v>
      </c>
      <c r="AJ121" s="105"/>
      <c r="AK121" s="115" t="s">
        <v>26</v>
      </c>
      <c r="AL121" s="116" t="s">
        <v>215</v>
      </c>
      <c r="AM121" s="116"/>
      <c r="AN121" s="106"/>
    </row>
    <row r="122" spans="4:47" s="45" customFormat="1">
      <c r="D122"/>
      <c r="E122" s="93"/>
      <c r="G122" s="93"/>
      <c r="H122" s="66"/>
      <c r="I122" s="93"/>
      <c r="J122" s="93"/>
      <c r="K122" s="93"/>
      <c r="L122" s="93"/>
      <c r="T122" s="45" t="s">
        <v>298</v>
      </c>
      <c r="W122" s="86">
        <f>F18</f>
        <v>0</v>
      </c>
      <c r="X122" s="68">
        <f>IF(AJ94=2,0,X118*-W122)</f>
        <v>0</v>
      </c>
      <c r="Z122" s="68">
        <f>IF(AJ94=1,0,Z118*-W122)</f>
        <v>0</v>
      </c>
      <c r="AI122" s="104"/>
      <c r="AJ122" s="105"/>
      <c r="AK122" s="117"/>
      <c r="AL122" s="118" t="s">
        <v>216</v>
      </c>
      <c r="AM122" s="118"/>
      <c r="AN122" s="119"/>
    </row>
    <row r="123" spans="4:47" s="45" customFormat="1">
      <c r="D123"/>
      <c r="E123" s="93"/>
      <c r="G123" s="93"/>
      <c r="H123" s="66"/>
      <c r="I123" s="93"/>
      <c r="J123" s="93"/>
      <c r="K123" s="93"/>
      <c r="L123" s="93"/>
      <c r="W123" s="75">
        <f>1-W122</f>
        <v>1</v>
      </c>
      <c r="X123" s="78"/>
      <c r="Y123" s="78"/>
      <c r="AA123" s="79"/>
      <c r="AE123" s="123"/>
      <c r="AI123" s="104"/>
      <c r="AJ123" s="105"/>
      <c r="AK123" s="105"/>
      <c r="AL123" s="105"/>
      <c r="AM123" s="105"/>
      <c r="AN123" s="106"/>
    </row>
    <row r="124" spans="4:47" s="45" customFormat="1">
      <c r="D124"/>
      <c r="E124" s="93"/>
      <c r="G124" s="93"/>
      <c r="H124" s="66"/>
      <c r="I124" s="93"/>
      <c r="J124" s="93"/>
      <c r="K124" s="93"/>
      <c r="L124" s="93"/>
      <c r="T124" s="45" t="s">
        <v>299</v>
      </c>
      <c r="X124" s="67">
        <f>MAX(0,SUM(X118:X123))+Z124</f>
        <v>0</v>
      </c>
      <c r="Z124" s="67">
        <f>MAX(0,SUM(Z118:Z123))</f>
        <v>0</v>
      </c>
      <c r="AI124" s="104"/>
      <c r="AJ124" s="129">
        <f>IF(AJ94=2,(AC95-X109)/((1+0.0425*W123)+((AL114*W123*(1+AN39)))),(AC95-X109)/((1+0.085*W123)+((AL114*W123*(1+AN39)))))</f>
        <v>0</v>
      </c>
      <c r="AK124" s="105">
        <f>IF(AL114=0.05,AJ124*AL114,IF(AL114=0.1,AJ124*AL114,1250+((AJ124-AC111)*AD113)))</f>
        <v>-1950</v>
      </c>
      <c r="AL124" s="105">
        <f>AJ124*AL114</f>
        <v>0</v>
      </c>
      <c r="AM124" s="105"/>
      <c r="AN124" s="106"/>
    </row>
    <row r="125" spans="4:47" s="45" customFormat="1">
      <c r="D125"/>
      <c r="E125" s="93"/>
      <c r="G125" s="93"/>
      <c r="H125" s="66"/>
      <c r="I125" s="93"/>
      <c r="J125" s="93"/>
      <c r="K125" s="93"/>
      <c r="L125" s="93"/>
      <c r="X125" s="89">
        <f>ROUND(X124,1)</f>
        <v>0</v>
      </c>
      <c r="AA125" s="130">
        <f>AC95</f>
        <v>0</v>
      </c>
      <c r="AE125" s="66"/>
      <c r="AI125" s="104"/>
      <c r="AJ125" s="105"/>
      <c r="AK125" s="105">
        <f>AK124*(AK39+AL39+AM39)</f>
        <v>0</v>
      </c>
      <c r="AL125" s="105">
        <f>AL124*(AK39+AL39+AM39)</f>
        <v>0</v>
      </c>
      <c r="AM125" s="105"/>
      <c r="AN125" s="106"/>
    </row>
    <row r="126" spans="4:47" s="45" customFormat="1">
      <c r="D126"/>
      <c r="E126" s="93"/>
      <c r="G126" s="93"/>
      <c r="H126" s="66"/>
      <c r="I126" s="93"/>
      <c r="J126" s="93"/>
      <c r="K126" s="93"/>
      <c r="L126" s="93"/>
      <c r="T126" s="49" t="s">
        <v>18</v>
      </c>
      <c r="U126" s="49"/>
      <c r="V126" s="49"/>
      <c r="X126" s="89">
        <f>AI39+AJ39</f>
        <v>0</v>
      </c>
      <c r="Y126" s="67">
        <f>X125+X126+X109</f>
        <v>0</v>
      </c>
      <c r="Z126" s="74"/>
      <c r="AA126" s="130">
        <f>X109</f>
        <v>0</v>
      </c>
      <c r="AB126" s="130">
        <f>AA126</f>
        <v>0</v>
      </c>
      <c r="AI126" s="104"/>
      <c r="AJ126" s="105"/>
      <c r="AK126" s="105">
        <f>AJ124*0.085</f>
        <v>0</v>
      </c>
      <c r="AL126" s="105">
        <f>AJ124*0.085</f>
        <v>0</v>
      </c>
      <c r="AM126" s="105"/>
      <c r="AN126" s="120">
        <f>AC95-AL124-AL125-AL126-X109</f>
        <v>0</v>
      </c>
    </row>
    <row r="127" spans="4:47" s="45" customFormat="1">
      <c r="D127"/>
      <c r="E127" s="93"/>
      <c r="G127" s="93"/>
      <c r="H127" s="66"/>
      <c r="I127" s="93"/>
      <c r="J127" s="93"/>
      <c r="K127" s="93"/>
      <c r="L127" s="93"/>
      <c r="AA127" s="130">
        <f>AA125-AA126</f>
        <v>0</v>
      </c>
      <c r="AB127" s="45">
        <v>1050</v>
      </c>
      <c r="AI127" s="104"/>
      <c r="AJ127" s="105"/>
      <c r="AK127" s="105">
        <f>SUM(AK124:AK126)</f>
        <v>-1950</v>
      </c>
      <c r="AL127" s="105"/>
      <c r="AM127" s="105"/>
      <c r="AN127" s="106"/>
    </row>
    <row r="128" spans="4:47" s="45" customFormat="1">
      <c r="D128"/>
      <c r="E128" s="93"/>
      <c r="G128" s="93"/>
      <c r="H128" s="66"/>
      <c r="I128" s="93"/>
      <c r="J128" s="93"/>
      <c r="K128" s="93"/>
      <c r="L128" s="93"/>
      <c r="T128" s="45" t="s">
        <v>203</v>
      </c>
      <c r="X128" s="74" t="e">
        <f>IF(Z128=1,0,IF(Y128=0.0425,Y129,((AC97-Y126)*W73)/((AC97-Y126)+((AC97-Y126)*W73))))</f>
        <v>#DIV/0!</v>
      </c>
      <c r="Y128" s="74">
        <f>IF(AJ94=2,AJ73,0)</f>
        <v>0</v>
      </c>
      <c r="Z128" s="45">
        <f>IF(Z132=0,0,IF(Z132&lt;12660,1,0))</f>
        <v>0</v>
      </c>
      <c r="AA128" s="130">
        <f>AA125-AJ110</f>
        <v>-28375</v>
      </c>
      <c r="AI128" s="104"/>
      <c r="AJ128" s="105"/>
      <c r="AK128" s="107">
        <f>X109</f>
        <v>0</v>
      </c>
      <c r="AL128" s="105"/>
      <c r="AM128" s="105"/>
      <c r="AN128" s="106"/>
    </row>
    <row r="129" spans="4:42" s="45" customFormat="1" ht="13.5" thickBot="1">
      <c r="D129"/>
      <c r="E129" s="93"/>
      <c r="G129" s="93"/>
      <c r="H129" s="66"/>
      <c r="I129" s="93"/>
      <c r="J129" s="93"/>
      <c r="K129" s="93"/>
      <c r="L129" s="93"/>
      <c r="Y129" s="92" t="e">
        <f>((AC97-Y126)*Y128)/((AC97-Y126)+((AC97-Y126)*Y128))</f>
        <v>#DIV/0!</v>
      </c>
      <c r="AA129" s="45">
        <f>AA128/(1+0.085+(0.05*(1+AN39)))</f>
        <v>-25000</v>
      </c>
      <c r="AB129" s="45">
        <f>AA129*AD113</f>
        <v>-3200</v>
      </c>
      <c r="AC129" s="130">
        <f>(AA136-25000)*AD113</f>
        <v>-2946.3594470046082</v>
      </c>
      <c r="AD129" s="130">
        <f>(AC136-25000)*AD113</f>
        <v>-2976.2820191552169</v>
      </c>
      <c r="AE129" s="130">
        <f>(AD136-25000)*AD113</f>
        <v>-2972.7519829936705</v>
      </c>
      <c r="AF129" s="130">
        <f>IF(AA125&lt;AJ110,0.05,IF(AA125&gt;AJ111,0.1,AB127+AE129+(AE139/2)))</f>
        <v>0.05</v>
      </c>
      <c r="AI129" s="108"/>
      <c r="AJ129" s="109"/>
      <c r="AK129" s="121">
        <f>AJ124+AK127+AK128</f>
        <v>-1950</v>
      </c>
      <c r="AL129" s="109"/>
      <c r="AM129" s="109"/>
      <c r="AN129" s="110"/>
    </row>
    <row r="130" spans="4:42" s="45" customFormat="1">
      <c r="D130"/>
      <c r="E130" s="93"/>
      <c r="G130" s="93"/>
      <c r="H130" s="66"/>
      <c r="I130" s="93"/>
      <c r="J130" s="93"/>
      <c r="K130" s="93"/>
      <c r="L130" s="93"/>
      <c r="T130" s="45" t="s">
        <v>204</v>
      </c>
      <c r="X130" s="67" t="e">
        <f>MAX(0,(AC97-Y126)*X128)</f>
        <v>#DIV/0!</v>
      </c>
      <c r="AB130" s="45">
        <f>(AB127+AB129)*AN39</f>
        <v>0</v>
      </c>
      <c r="AC130" s="45">
        <f>(AB127+AC129)*AN39</f>
        <v>0</v>
      </c>
      <c r="AD130" s="45">
        <f>(AB127+AD129)*AN39</f>
        <v>0</v>
      </c>
      <c r="AE130" s="45">
        <f>(AB127+AE129)*AN39</f>
        <v>0</v>
      </c>
      <c r="AF130" s="45">
        <f>AF129/AD136</f>
        <v>2.8163062033767871E-5</v>
      </c>
    </row>
    <row r="131" spans="4:42" s="45" customFormat="1" ht="13.5" thickBot="1">
      <c r="D131"/>
      <c r="E131" s="93"/>
      <c r="G131" s="93"/>
      <c r="H131" s="66"/>
      <c r="I131" s="93"/>
      <c r="J131" s="93"/>
      <c r="K131" s="93"/>
      <c r="L131" s="93"/>
      <c r="AB131" s="130">
        <f>SUM(AB126:AB130)</f>
        <v>-2150</v>
      </c>
      <c r="AC131" s="130">
        <f>AB126+AB127+AC129+AC130</f>
        <v>-1896.3594470046082</v>
      </c>
      <c r="AD131" s="130">
        <f>AB126+AB127+AD129+AD130</f>
        <v>-1926.2820191552169</v>
      </c>
      <c r="AE131" s="130">
        <f>AB126+AB127+AE129+AE130</f>
        <v>-1922.7519829936705</v>
      </c>
    </row>
    <row r="132" spans="4:42" s="45" customFormat="1">
      <c r="D132"/>
      <c r="E132" s="93"/>
      <c r="G132" s="93"/>
      <c r="H132" s="66"/>
      <c r="I132" s="93"/>
      <c r="J132" s="93"/>
      <c r="K132" s="93"/>
      <c r="L132" s="93"/>
      <c r="T132" s="45" t="s">
        <v>205</v>
      </c>
      <c r="X132" s="68" t="e">
        <f>X130*-W122</f>
        <v>#DIV/0!</v>
      </c>
      <c r="Z132" s="65">
        <f>IF(G7=1,0,G7*AC97)</f>
        <v>0</v>
      </c>
      <c r="AA132" s="130">
        <f>AA125-AB131</f>
        <v>2150</v>
      </c>
      <c r="AC132" s="130">
        <f>AA125-AC131</f>
        <v>1896.3594470046082</v>
      </c>
      <c r="AD132" s="130">
        <f>AA125-AD131</f>
        <v>1926.2820191552169</v>
      </c>
      <c r="AE132" s="130">
        <f>AA125-AE131</f>
        <v>1922.7519829936705</v>
      </c>
      <c r="AI132" s="101"/>
      <c r="AJ132" s="122" t="s">
        <v>241</v>
      </c>
      <c r="AK132" s="102"/>
      <c r="AL132" s="102"/>
      <c r="AM132" s="102"/>
      <c r="AN132" s="103"/>
    </row>
    <row r="133" spans="4:42" s="45" customFormat="1">
      <c r="D133"/>
      <c r="E133" s="93"/>
      <c r="G133" s="93"/>
      <c r="H133" s="66"/>
      <c r="I133" s="93"/>
      <c r="J133" s="93"/>
      <c r="K133" s="93"/>
      <c r="L133" s="93"/>
      <c r="AA133" s="87">
        <f>IF(AJ94=2,((AA132)*AJ73)/((AA132)+((AA132)*AJ73)),((AA132)*W73)/((AA132)+((AA132)*W73)))</f>
        <v>7.8341013824884786E-2</v>
      </c>
      <c r="AB133" s="130">
        <f>AA132*AA133</f>
        <v>168.43317972350229</v>
      </c>
      <c r="AC133" s="87">
        <f>IF(AJ94=2,((AA132)*AJ73)/((AA132)+((AA132)*AJ73)),((AC132)*W73)/((AC132)+((AC132)*W73)))</f>
        <v>7.83410138248848E-2</v>
      </c>
      <c r="AI133" s="104"/>
      <c r="AJ133" s="105"/>
      <c r="AK133" s="105"/>
      <c r="AL133" s="105"/>
      <c r="AM133" s="105"/>
      <c r="AN133" s="106"/>
    </row>
    <row r="134" spans="4:42" s="45" customFormat="1">
      <c r="D134"/>
      <c r="E134" s="93"/>
      <c r="G134" s="93"/>
      <c r="H134" s="66"/>
      <c r="I134" s="93"/>
      <c r="J134" s="93"/>
      <c r="K134" s="93"/>
      <c r="L134" s="93"/>
      <c r="X134" s="67" t="e">
        <f>SUM(X130:X132)</f>
        <v>#DIV/0!</v>
      </c>
      <c r="AC134" s="130">
        <f>AC132*AC133</f>
        <v>148.56272165473891</v>
      </c>
      <c r="AD134" s="130">
        <f>AD132*AC133</f>
        <v>150.90688629326584</v>
      </c>
      <c r="AE134" s="130">
        <f>AC133*AE132</f>
        <v>150.63033968153181</v>
      </c>
      <c r="AI134" s="104"/>
      <c r="AJ134" s="105" t="s">
        <v>243</v>
      </c>
      <c r="AK134" s="105"/>
      <c r="AL134" s="107">
        <f>(AC96*AF120*100)+(AD98-X109)/((1+((AL114*W123*(1+AN39)))))</f>
        <v>0</v>
      </c>
      <c r="AM134" s="105"/>
      <c r="AN134" s="106"/>
    </row>
    <row r="135" spans="4:42" s="45" customFormat="1">
      <c r="D135"/>
      <c r="E135" s="93"/>
      <c r="G135" s="93"/>
      <c r="H135" s="66"/>
      <c r="I135" s="93"/>
      <c r="J135" s="93"/>
      <c r="K135" s="93"/>
      <c r="L135" s="93"/>
      <c r="X135" s="67" t="e">
        <f>ROUND(X134,1)</f>
        <v>#DIV/0!</v>
      </c>
      <c r="AB135" s="130">
        <f>SUM(AB131:AB133)</f>
        <v>-1981.5668202764978</v>
      </c>
      <c r="AC135" s="130">
        <f>AC131+AC134</f>
        <v>-1747.7967253498693</v>
      </c>
      <c r="AD135" s="130">
        <f>AD131+AD134</f>
        <v>-1775.375132861951</v>
      </c>
      <c r="AE135" s="130">
        <f>AE131+AE134</f>
        <v>-1772.1216433121388</v>
      </c>
      <c r="AI135" s="104"/>
      <c r="AJ135" s="105"/>
      <c r="AK135" s="105"/>
      <c r="AL135" s="105"/>
      <c r="AM135" s="105"/>
      <c r="AN135" s="106"/>
    </row>
    <row r="136" spans="4:42" s="45" customFormat="1">
      <c r="D136"/>
      <c r="E136" s="93"/>
      <c r="G136" s="93"/>
      <c r="H136" s="66"/>
      <c r="I136" s="93"/>
      <c r="J136" s="93"/>
      <c r="K136" s="93"/>
      <c r="L136" s="93"/>
      <c r="AA136" s="130">
        <f>AA125-AB135</f>
        <v>1981.5668202764978</v>
      </c>
      <c r="AC136" s="130">
        <f>AA125-AC135</f>
        <v>1747.7967253498693</v>
      </c>
      <c r="AD136" s="130">
        <f>AA125-AD135</f>
        <v>1775.375132861951</v>
      </c>
      <c r="AE136" s="130">
        <f>AA125-AE135</f>
        <v>1772.1216433121388</v>
      </c>
      <c r="AI136" s="104"/>
      <c r="AJ136" s="105"/>
      <c r="AK136" s="105"/>
      <c r="AL136" s="105"/>
      <c r="AM136" s="105"/>
      <c r="AN136" s="106"/>
    </row>
    <row r="137" spans="4:42" s="45" customFormat="1">
      <c r="D137"/>
      <c r="E137" s="93"/>
      <c r="G137" s="93"/>
      <c r="H137" s="66"/>
      <c r="I137" s="93"/>
      <c r="J137" s="93"/>
      <c r="K137" s="93"/>
      <c r="L137" s="93"/>
      <c r="AI137" s="104" t="s">
        <v>264</v>
      </c>
      <c r="AJ137" s="105">
        <f>(AC97-(AD98-AL134))/((1+0.085*W123))</f>
        <v>0</v>
      </c>
      <c r="AK137" s="107">
        <f>AC95-AJ137</f>
        <v>0</v>
      </c>
      <c r="AL137" s="107">
        <f>AC133*AL138</f>
        <v>0</v>
      </c>
      <c r="AM137" s="105"/>
      <c r="AN137" s="106"/>
    </row>
    <row r="138" spans="4:42" s="45" customFormat="1">
      <c r="D138"/>
      <c r="E138" s="93"/>
      <c r="G138" s="93"/>
      <c r="H138" s="66"/>
      <c r="I138" s="93"/>
      <c r="J138" s="93"/>
      <c r="K138" s="93"/>
      <c r="L138" s="93"/>
      <c r="AE138" s="130">
        <f>AE136-AD136</f>
        <v>-3.2534895498122296</v>
      </c>
      <c r="AI138" s="104"/>
      <c r="AJ138" s="105"/>
      <c r="AK138" s="105"/>
      <c r="AL138" s="107">
        <f>AF95*(AJ137-AC96)</f>
        <v>0</v>
      </c>
      <c r="AM138" s="105"/>
      <c r="AN138" s="106"/>
    </row>
    <row r="139" spans="4:42" s="45" customFormat="1" ht="13.5" thickBot="1">
      <c r="D139"/>
      <c r="E139" s="93"/>
      <c r="G139" s="93"/>
      <c r="H139" s="66"/>
      <c r="I139" s="93"/>
      <c r="J139" s="93"/>
      <c r="K139" s="93"/>
      <c r="L139" s="93"/>
      <c r="W139" s="67"/>
      <c r="AE139" s="45">
        <f>AE138*AD113</f>
        <v>-0.41644666237596539</v>
      </c>
      <c r="AI139" s="108" t="s">
        <v>244</v>
      </c>
      <c r="AJ139" s="109"/>
      <c r="AK139" s="109"/>
      <c r="AL139" s="121">
        <f>IF(AD98&gt;AC97,AD98-AK137,AL138)</f>
        <v>0</v>
      </c>
      <c r="AM139" s="109"/>
      <c r="AN139" s="110"/>
    </row>
    <row r="140" spans="4:42" s="45" customFormat="1">
      <c r="D140"/>
      <c r="E140" s="93"/>
      <c r="G140" s="93"/>
      <c r="H140" s="66"/>
      <c r="I140" s="93"/>
      <c r="J140" s="93"/>
      <c r="K140" s="93"/>
      <c r="L140" s="93"/>
    </row>
    <row r="141" spans="4:42" s="45" customFormat="1" ht="13.5" thickBot="1">
      <c r="D141"/>
      <c r="E141" s="93"/>
      <c r="G141" s="93"/>
      <c r="H141" s="66"/>
      <c r="I141" s="93"/>
      <c r="J141" s="93"/>
      <c r="K141" s="93"/>
      <c r="L141" s="93"/>
      <c r="W141" s="70"/>
      <c r="X141" s="67"/>
    </row>
    <row r="142" spans="4:42" s="45" customFormat="1">
      <c r="D142"/>
      <c r="E142" s="93"/>
      <c r="G142" s="93"/>
      <c r="H142" s="66"/>
      <c r="I142" s="93"/>
      <c r="J142" s="93"/>
      <c r="K142" s="93"/>
      <c r="L142" s="93"/>
      <c r="W142" s="67"/>
      <c r="AI142" s="101" t="s">
        <v>269</v>
      </c>
      <c r="AJ142" s="102"/>
      <c r="AK142" s="102"/>
      <c r="AL142" s="102"/>
      <c r="AM142" s="102"/>
      <c r="AN142" s="102"/>
      <c r="AO142" s="102"/>
      <c r="AP142" s="103"/>
    </row>
    <row r="143" spans="4:42" s="45" customFormat="1">
      <c r="D143"/>
      <c r="E143" s="93"/>
      <c r="G143" s="93"/>
      <c r="H143" s="66"/>
      <c r="I143" s="93"/>
      <c r="J143" s="93"/>
      <c r="K143" s="93"/>
      <c r="L143" s="93"/>
      <c r="AI143" s="104" t="s">
        <v>22</v>
      </c>
      <c r="AJ143" s="105"/>
      <c r="AK143" s="105" t="s">
        <v>26</v>
      </c>
      <c r="AL143" s="105" t="s">
        <v>215</v>
      </c>
      <c r="AM143" s="105"/>
      <c r="AN143" s="105"/>
      <c r="AO143" s="105"/>
      <c r="AP143" s="106"/>
    </row>
    <row r="144" spans="4:42" s="45" customFormat="1">
      <c r="D144"/>
      <c r="E144" s="93"/>
      <c r="G144" s="93"/>
      <c r="H144" s="66"/>
      <c r="I144" s="93"/>
      <c r="J144" s="93"/>
      <c r="K144" s="93"/>
      <c r="L144" s="93"/>
      <c r="AI144" s="104"/>
      <c r="AJ144" s="105"/>
      <c r="AK144" s="105"/>
      <c r="AL144" s="105" t="s">
        <v>216</v>
      </c>
      <c r="AM144" s="105"/>
      <c r="AN144" s="105"/>
      <c r="AO144" s="105"/>
      <c r="AP144" s="106"/>
    </row>
    <row r="145" spans="4:42" s="45" customFormat="1">
      <c r="D145"/>
      <c r="E145" s="93"/>
      <c r="G145" s="93"/>
      <c r="H145" s="66"/>
      <c r="I145" s="93"/>
      <c r="J145" s="93"/>
      <c r="K145" s="93"/>
      <c r="L145" s="93"/>
      <c r="AI145" s="104"/>
      <c r="AJ145" s="105"/>
      <c r="AK145" s="105"/>
      <c r="AL145" s="105"/>
      <c r="AM145" s="105"/>
      <c r="AN145" s="105"/>
      <c r="AO145" s="105"/>
      <c r="AP145" s="106"/>
    </row>
    <row r="146" spans="4:42" s="45" customFormat="1">
      <c r="D146"/>
      <c r="E146" s="93"/>
      <c r="G146" s="93"/>
      <c r="H146" s="66"/>
      <c r="I146" s="93"/>
      <c r="J146" s="93"/>
      <c r="K146" s="93"/>
      <c r="L146" s="93"/>
      <c r="T146" s="93"/>
      <c r="U146" s="93"/>
      <c r="V146" s="93"/>
      <c r="W146" s="93"/>
      <c r="X146" s="93"/>
      <c r="Y146" s="93"/>
      <c r="AI146" s="104"/>
      <c r="AJ146" s="105">
        <f>IF(AJ94=2,(AC97-X109)/((1+0.0425*W123)+((AL114*W123*(1+AN39)))),(AC97-X109)/((1+0.085*W123)+((AL114*W123*(1+AN39)))))</f>
        <v>0</v>
      </c>
      <c r="AK146" s="105">
        <f>IF(AM136=0.05,AJ146*AM136,IF(AM136=0.1,AJ146*AM136,1250+((AJ146-AC133)*AD135)))</f>
        <v>1389.0846878278949</v>
      </c>
      <c r="AL146" s="105">
        <f>AJ146*AM136</f>
        <v>0</v>
      </c>
      <c r="AM146" s="105"/>
      <c r="AN146" s="105"/>
      <c r="AO146" s="105"/>
      <c r="AP146" s="106"/>
    </row>
    <row r="147" spans="4:42" s="45" customFormat="1">
      <c r="D147"/>
      <c r="E147" s="93"/>
      <c r="G147" s="93"/>
      <c r="H147" s="66"/>
      <c r="I147" s="93"/>
      <c r="J147" s="93"/>
      <c r="K147" s="93"/>
      <c r="L147" s="93"/>
      <c r="T147" s="93"/>
      <c r="U147" s="93"/>
      <c r="V147" s="93"/>
      <c r="W147" s="93"/>
      <c r="X147" s="93"/>
      <c r="Y147" s="93"/>
      <c r="AI147" s="104"/>
      <c r="AJ147" s="105"/>
      <c r="AK147" s="105">
        <f>AK146*(AK61+AL61+AM61)</f>
        <v>0</v>
      </c>
      <c r="AL147" s="105">
        <f>AL146*(AK61+AL61+AM61)</f>
        <v>0</v>
      </c>
      <c r="AM147" s="105"/>
      <c r="AN147" s="105"/>
      <c r="AO147" s="105"/>
      <c r="AP147" s="106"/>
    </row>
    <row r="148" spans="4:42" s="45" customFormat="1">
      <c r="D148"/>
      <c r="E148" s="93"/>
      <c r="G148" s="93"/>
      <c r="H148" s="66"/>
      <c r="I148" s="93"/>
      <c r="J148" s="93"/>
      <c r="K148" s="93"/>
      <c r="L148" s="93"/>
      <c r="T148" s="93"/>
      <c r="U148" s="93"/>
      <c r="V148" s="93"/>
      <c r="W148" s="94"/>
      <c r="X148" s="93"/>
      <c r="Y148" s="93"/>
      <c r="AI148" s="104"/>
      <c r="AJ148" s="105"/>
      <c r="AK148" s="105">
        <f>AJ146*0.085</f>
        <v>0</v>
      </c>
      <c r="AL148" s="105">
        <f>AJ146*0.085</f>
        <v>0</v>
      </c>
      <c r="AM148" s="105"/>
      <c r="AN148" s="105">
        <f>AC117-AL146-AL147-AL148-X131</f>
        <v>0</v>
      </c>
      <c r="AO148" s="105"/>
      <c r="AP148" s="106"/>
    </row>
    <row r="149" spans="4:42" s="45" customFormat="1">
      <c r="D149"/>
      <c r="E149" s="93"/>
      <c r="G149" s="93"/>
      <c r="H149" s="66"/>
      <c r="I149" s="93"/>
      <c r="J149" s="93"/>
      <c r="K149" s="93"/>
      <c r="L149" s="93"/>
      <c r="T149" s="93"/>
      <c r="U149" s="93"/>
      <c r="V149" s="93"/>
      <c r="W149" s="94"/>
      <c r="X149" s="93"/>
      <c r="Y149" s="93"/>
      <c r="AI149" s="104"/>
      <c r="AJ149" s="105"/>
      <c r="AK149" s="105">
        <f>SUM(AK146:AK148)</f>
        <v>1389.0846878278949</v>
      </c>
      <c r="AL149" s="105"/>
      <c r="AM149" s="105"/>
      <c r="AN149" s="105"/>
      <c r="AO149" s="105"/>
      <c r="AP149" s="106"/>
    </row>
    <row r="150" spans="4:42" s="45" customFormat="1">
      <c r="D150"/>
      <c r="E150" s="93"/>
      <c r="G150" s="93"/>
      <c r="H150" s="66"/>
      <c r="I150" s="93"/>
      <c r="J150" s="93"/>
      <c r="K150" s="93"/>
      <c r="L150" s="93"/>
      <c r="T150" s="93"/>
      <c r="U150" s="93"/>
      <c r="V150" s="93"/>
      <c r="W150" s="93"/>
      <c r="X150" s="93"/>
      <c r="Y150" s="93"/>
      <c r="AI150" s="104"/>
      <c r="AJ150" s="105"/>
      <c r="AK150" s="105">
        <f>X131</f>
        <v>0</v>
      </c>
      <c r="AL150" s="105"/>
      <c r="AM150" s="105"/>
      <c r="AN150" s="105"/>
      <c r="AO150" s="105"/>
      <c r="AP150" s="106"/>
    </row>
    <row r="151" spans="4:42" s="45" customFormat="1" ht="13.5" thickBot="1">
      <c r="D151"/>
      <c r="E151" s="93"/>
      <c r="G151" s="93"/>
      <c r="H151" s="66"/>
      <c r="I151" s="93"/>
      <c r="J151" s="93"/>
      <c r="K151" s="93"/>
      <c r="L151" s="93"/>
      <c r="T151" s="93"/>
      <c r="U151" s="93"/>
      <c r="V151" s="93"/>
      <c r="W151" s="93"/>
      <c r="X151" s="93"/>
      <c r="Y151" s="93"/>
      <c r="AI151" s="108"/>
      <c r="AJ151" s="109"/>
      <c r="AK151" s="109">
        <f>AJ146+AK149+AK150</f>
        <v>1389.0846878278949</v>
      </c>
      <c r="AL151" s="109"/>
      <c r="AM151" s="109"/>
      <c r="AN151" s="109"/>
      <c r="AO151" s="109"/>
      <c r="AP151" s="110"/>
    </row>
    <row r="152" spans="4:42" s="45" customFormat="1">
      <c r="D152"/>
      <c r="E152" s="93"/>
      <c r="G152" s="93"/>
      <c r="H152" s="66"/>
      <c r="I152" s="93"/>
      <c r="J152" s="93"/>
      <c r="K152" s="93"/>
      <c r="L152" s="93"/>
      <c r="T152" s="93"/>
      <c r="U152" s="93"/>
      <c r="V152" s="93"/>
      <c r="W152" s="93"/>
      <c r="X152" s="93"/>
      <c r="Y152" s="93"/>
    </row>
    <row r="153" spans="4:42" s="45" customFormat="1">
      <c r="D153"/>
      <c r="E153" s="93"/>
      <c r="G153" s="93"/>
      <c r="H153" s="66"/>
      <c r="I153" s="93"/>
      <c r="J153" s="93"/>
      <c r="K153" s="93"/>
      <c r="L153" s="93"/>
      <c r="T153" s="93"/>
      <c r="U153" s="93"/>
      <c r="V153" s="93"/>
      <c r="W153" s="93"/>
      <c r="X153" s="93"/>
      <c r="Y153" s="93"/>
    </row>
    <row r="154" spans="4:42" s="45" customFormat="1">
      <c r="D154"/>
      <c r="E154" s="93"/>
      <c r="G154" s="93"/>
      <c r="H154" s="66"/>
      <c r="I154" s="93"/>
      <c r="J154" s="93"/>
      <c r="K154" s="93"/>
      <c r="L154" s="93"/>
      <c r="T154" s="93"/>
      <c r="U154" s="93"/>
      <c r="V154" s="93"/>
      <c r="W154" s="93"/>
      <c r="X154" s="93"/>
      <c r="Y154" s="93"/>
    </row>
    <row r="155" spans="4:42" s="45" customFormat="1">
      <c r="D155"/>
      <c r="E155" s="93"/>
      <c r="G155" s="93"/>
      <c r="H155" s="66"/>
      <c r="I155" s="93"/>
      <c r="J155" s="93"/>
      <c r="K155" s="93"/>
      <c r="L155" s="93"/>
      <c r="T155" s="93"/>
      <c r="U155" s="95"/>
      <c r="V155" s="93"/>
      <c r="W155" s="93"/>
      <c r="X155" s="93"/>
      <c r="Y155" s="93"/>
    </row>
    <row r="156" spans="4:42" s="45" customFormat="1">
      <c r="D156"/>
      <c r="E156" s="93"/>
      <c r="G156" s="93"/>
      <c r="H156" s="66"/>
      <c r="I156" s="93"/>
      <c r="J156" s="93"/>
      <c r="K156" s="93"/>
      <c r="L156" s="93"/>
      <c r="T156" s="93"/>
      <c r="U156" s="95"/>
      <c r="V156" s="93"/>
      <c r="W156" s="93"/>
      <c r="X156" s="93"/>
      <c r="Y156" s="93"/>
    </row>
    <row r="157" spans="4:42" s="45" customFormat="1">
      <c r="D157"/>
      <c r="E157" s="93"/>
      <c r="G157" s="93"/>
      <c r="H157" s="66"/>
      <c r="I157" s="93"/>
      <c r="J157" s="93"/>
      <c r="K157" s="93"/>
      <c r="L157" s="93"/>
      <c r="T157" s="93"/>
      <c r="U157" s="95"/>
      <c r="V157" s="93"/>
      <c r="W157" s="93"/>
      <c r="X157" s="93"/>
      <c r="Y157" s="93"/>
    </row>
    <row r="158" spans="4:42" s="45" customFormat="1">
      <c r="D158"/>
      <c r="E158" s="93"/>
      <c r="G158" s="93"/>
      <c r="H158" s="66"/>
      <c r="I158" s="93"/>
      <c r="J158" s="93"/>
      <c r="K158" s="93"/>
      <c r="L158" s="93"/>
    </row>
    <row r="159" spans="4:42" s="45" customFormat="1">
      <c r="D159"/>
      <c r="E159" s="93"/>
      <c r="G159" s="93"/>
      <c r="H159" s="66"/>
      <c r="I159" s="93"/>
      <c r="J159" s="93"/>
      <c r="K159" s="93"/>
      <c r="L159" s="93"/>
    </row>
    <row r="160" spans="4:42" s="45" customFormat="1">
      <c r="D160"/>
      <c r="E160" s="93"/>
      <c r="G160" s="93"/>
      <c r="H160" s="66"/>
      <c r="I160" s="93"/>
      <c r="J160" s="93"/>
      <c r="K160" s="93"/>
      <c r="L160" s="93"/>
    </row>
    <row r="161" spans="4:12" s="45" customFormat="1">
      <c r="D161"/>
      <c r="E161" s="93"/>
      <c r="G161" s="93"/>
      <c r="H161" s="66"/>
      <c r="I161" s="93"/>
      <c r="J161" s="93"/>
      <c r="K161" s="93"/>
      <c r="L161" s="93"/>
    </row>
    <row r="162" spans="4:12" s="45" customFormat="1">
      <c r="D162"/>
      <c r="E162" s="93"/>
      <c r="G162" s="93"/>
      <c r="H162" s="66"/>
      <c r="I162" s="93"/>
      <c r="J162" s="93"/>
      <c r="K162" s="93"/>
      <c r="L162" s="93"/>
    </row>
    <row r="163" spans="4:12" s="45" customFormat="1">
      <c r="D163"/>
      <c r="E163" s="93"/>
      <c r="G163" s="93"/>
      <c r="H163" s="66"/>
      <c r="I163" s="93"/>
      <c r="J163" s="93"/>
      <c r="K163" s="93"/>
      <c r="L163" s="93"/>
    </row>
    <row r="164" spans="4:12" s="45" customFormat="1">
      <c r="D164"/>
      <c r="E164" s="93"/>
      <c r="G164" s="93"/>
      <c r="H164" s="66"/>
      <c r="I164" s="93"/>
      <c r="J164" s="93"/>
      <c r="K164" s="93"/>
      <c r="L164" s="93"/>
    </row>
    <row r="165" spans="4:12" s="45" customFormat="1">
      <c r="D165"/>
      <c r="E165" s="93"/>
      <c r="G165" s="93"/>
      <c r="H165" s="66"/>
      <c r="I165" s="93"/>
      <c r="J165" s="93"/>
      <c r="K165" s="93"/>
      <c r="L165" s="93"/>
    </row>
    <row r="166" spans="4:12" s="45" customFormat="1">
      <c r="D166"/>
      <c r="E166" s="93"/>
      <c r="G166" s="93"/>
      <c r="H166" s="66"/>
      <c r="I166" s="93"/>
      <c r="J166" s="93"/>
      <c r="K166" s="93"/>
      <c r="L166" s="93"/>
    </row>
    <row r="167" spans="4:12" s="45" customFormat="1">
      <c r="D167"/>
      <c r="E167" s="93"/>
      <c r="G167" s="93"/>
      <c r="H167" s="66"/>
      <c r="I167" s="93"/>
      <c r="J167" s="93"/>
      <c r="K167" s="93"/>
      <c r="L167" s="93"/>
    </row>
    <row r="168" spans="4:12" s="45" customFormat="1">
      <c r="D168"/>
      <c r="E168" s="93"/>
      <c r="G168" s="93"/>
      <c r="H168" s="66"/>
      <c r="I168" s="93"/>
      <c r="J168" s="93"/>
      <c r="K168" s="93"/>
      <c r="L168" s="93"/>
    </row>
    <row r="169" spans="4:12" s="45" customFormat="1">
      <c r="D169"/>
      <c r="E169" s="93"/>
      <c r="G169" s="93"/>
      <c r="H169" s="66"/>
      <c r="I169" s="93"/>
      <c r="J169" s="93"/>
      <c r="K169" s="93"/>
      <c r="L169" s="93"/>
    </row>
    <row r="170" spans="4:12" s="45" customFormat="1">
      <c r="D170"/>
      <c r="E170" s="93"/>
      <c r="G170" s="93"/>
      <c r="H170" s="66"/>
      <c r="I170" s="93"/>
      <c r="J170" s="93"/>
      <c r="K170" s="93"/>
      <c r="L170" s="93"/>
    </row>
    <row r="171" spans="4:12" s="45" customFormat="1">
      <c r="D171"/>
      <c r="E171" s="93"/>
      <c r="G171" s="93"/>
      <c r="H171" s="66"/>
      <c r="I171" s="93"/>
      <c r="J171" s="93"/>
      <c r="K171" s="93"/>
      <c r="L171" s="93"/>
    </row>
    <row r="172" spans="4:12" s="45" customFormat="1">
      <c r="D172"/>
      <c r="E172" s="93"/>
      <c r="G172" s="93"/>
      <c r="H172" s="66"/>
      <c r="I172" s="93"/>
      <c r="J172" s="93"/>
      <c r="K172" s="93"/>
      <c r="L172" s="93"/>
    </row>
    <row r="173" spans="4:12" s="45" customFormat="1">
      <c r="D173"/>
      <c r="E173" s="93"/>
      <c r="G173" s="93"/>
      <c r="H173" s="66"/>
      <c r="I173" s="93"/>
      <c r="J173" s="93"/>
      <c r="K173" s="93"/>
      <c r="L173" s="93"/>
    </row>
    <row r="174" spans="4:12" s="45" customFormat="1">
      <c r="D174"/>
      <c r="E174" s="93"/>
      <c r="G174" s="93"/>
      <c r="H174" s="66"/>
      <c r="I174" s="93"/>
      <c r="J174" s="93"/>
      <c r="K174" s="93"/>
      <c r="L174" s="93"/>
    </row>
    <row r="175" spans="4:12" s="45" customFormat="1">
      <c r="D175"/>
      <c r="E175" s="93"/>
      <c r="G175" s="93"/>
      <c r="H175" s="66"/>
      <c r="I175" s="93"/>
      <c r="J175" s="93"/>
      <c r="K175" s="93"/>
      <c r="L175" s="93"/>
    </row>
    <row r="176" spans="4:12" s="45" customFormat="1">
      <c r="D176"/>
      <c r="E176" s="93"/>
      <c r="G176" s="93"/>
      <c r="H176" s="66"/>
      <c r="I176" s="93"/>
      <c r="J176" s="93"/>
      <c r="K176" s="93"/>
      <c r="L176" s="93"/>
    </row>
    <row r="177" spans="4:12" s="45" customFormat="1">
      <c r="D177"/>
      <c r="E177" s="93"/>
      <c r="G177" s="93"/>
      <c r="H177" s="66"/>
      <c r="I177" s="93"/>
      <c r="J177" s="93"/>
      <c r="K177" s="93"/>
      <c r="L177" s="93"/>
    </row>
    <row r="178" spans="4:12" s="45" customFormat="1">
      <c r="D178"/>
      <c r="E178" s="93"/>
      <c r="G178" s="93"/>
      <c r="H178" s="66"/>
      <c r="I178" s="93"/>
      <c r="J178" s="93"/>
      <c r="K178" s="93"/>
      <c r="L178" s="93"/>
    </row>
    <row r="179" spans="4:12" s="45" customFormat="1">
      <c r="D179"/>
      <c r="E179" s="93"/>
      <c r="G179" s="93"/>
      <c r="H179" s="66"/>
      <c r="I179" s="93"/>
      <c r="J179" s="93"/>
      <c r="K179" s="93"/>
      <c r="L179" s="93"/>
    </row>
    <row r="180" spans="4:12" s="45" customFormat="1">
      <c r="D180"/>
      <c r="E180" s="93"/>
      <c r="G180" s="93"/>
      <c r="H180" s="66"/>
      <c r="I180" s="93"/>
      <c r="J180" s="93"/>
      <c r="K180" s="93"/>
      <c r="L180" s="93"/>
    </row>
    <row r="181" spans="4:12" s="45" customFormat="1">
      <c r="D181"/>
      <c r="E181" s="93"/>
      <c r="G181" s="93"/>
      <c r="H181" s="66"/>
      <c r="I181" s="93"/>
      <c r="J181" s="93"/>
      <c r="K181" s="93"/>
      <c r="L181" s="93"/>
    </row>
    <row r="182" spans="4:12" s="45" customFormat="1">
      <c r="D182"/>
      <c r="E182" s="93"/>
      <c r="G182" s="93"/>
      <c r="H182" s="66"/>
      <c r="I182" s="93"/>
      <c r="J182" s="93"/>
      <c r="K182" s="93"/>
      <c r="L182" s="93"/>
    </row>
    <row r="183" spans="4:12" s="45" customFormat="1">
      <c r="D183"/>
      <c r="E183" s="93"/>
      <c r="G183" s="93"/>
      <c r="H183" s="66"/>
      <c r="I183" s="93"/>
      <c r="J183" s="93"/>
      <c r="K183" s="93"/>
      <c r="L183" s="93"/>
    </row>
    <row r="184" spans="4:12" s="45" customFormat="1">
      <c r="D184"/>
      <c r="E184" s="93"/>
      <c r="G184" s="93"/>
      <c r="H184" s="66"/>
      <c r="I184" s="93"/>
      <c r="J184" s="93"/>
      <c r="K184" s="93"/>
      <c r="L184" s="93"/>
    </row>
    <row r="185" spans="4:12" s="45" customFormat="1">
      <c r="D185"/>
      <c r="E185" s="93"/>
      <c r="G185" s="93"/>
      <c r="H185" s="66"/>
      <c r="I185" s="93"/>
      <c r="J185" s="93"/>
      <c r="K185" s="93"/>
      <c r="L185" s="93"/>
    </row>
    <row r="186" spans="4:12" s="45" customFormat="1">
      <c r="D186"/>
      <c r="E186" s="93"/>
      <c r="G186" s="93"/>
      <c r="H186" s="66"/>
      <c r="I186" s="93"/>
      <c r="J186" s="93"/>
      <c r="K186" s="93"/>
      <c r="L186" s="93"/>
    </row>
    <row r="187" spans="4:12" s="45" customFormat="1">
      <c r="D187"/>
      <c r="E187" s="93"/>
      <c r="G187" s="93"/>
      <c r="H187" s="66"/>
      <c r="I187" s="93"/>
      <c r="J187" s="93"/>
      <c r="K187" s="93"/>
      <c r="L187" s="93"/>
    </row>
    <row r="188" spans="4:12" s="45" customFormat="1">
      <c r="D188"/>
      <c r="E188" s="93"/>
      <c r="G188" s="93"/>
      <c r="H188" s="66"/>
      <c r="I188" s="93"/>
      <c r="J188" s="93"/>
      <c r="K188" s="93"/>
      <c r="L188" s="93"/>
    </row>
    <row r="189" spans="4:12" s="45" customFormat="1">
      <c r="D189"/>
      <c r="E189" s="93"/>
      <c r="G189" s="93"/>
      <c r="H189" s="66"/>
      <c r="I189" s="93"/>
      <c r="J189" s="93"/>
      <c r="K189" s="93"/>
      <c r="L189" s="93"/>
    </row>
    <row r="190" spans="4:12" s="45" customFormat="1">
      <c r="D190"/>
      <c r="E190" s="93"/>
      <c r="G190" s="93"/>
      <c r="H190" s="66"/>
      <c r="I190" s="93"/>
      <c r="J190" s="93"/>
      <c r="K190" s="93"/>
      <c r="L190" s="93"/>
    </row>
    <row r="191" spans="4:12" s="45" customFormat="1">
      <c r="D191"/>
      <c r="E191" s="93"/>
      <c r="G191" s="93"/>
      <c r="H191" s="66"/>
      <c r="I191" s="93"/>
      <c r="J191" s="93"/>
      <c r="K191" s="93"/>
      <c r="L191" s="93"/>
    </row>
    <row r="192" spans="4:12" s="45" customFormat="1">
      <c r="D192"/>
      <c r="E192" s="93"/>
      <c r="G192" s="93"/>
      <c r="H192" s="66"/>
      <c r="I192" s="93"/>
      <c r="J192" s="93"/>
      <c r="K192" s="93"/>
      <c r="L192" s="93"/>
    </row>
    <row r="193" spans="4:12" s="45" customFormat="1">
      <c r="D193"/>
      <c r="E193" s="93"/>
      <c r="G193" s="93"/>
      <c r="H193" s="66"/>
      <c r="I193" s="93"/>
      <c r="J193" s="93"/>
      <c r="K193" s="93"/>
      <c r="L193" s="93"/>
    </row>
    <row r="194" spans="4:12" s="45" customFormat="1">
      <c r="D194"/>
      <c r="E194" s="93"/>
      <c r="G194" s="93"/>
      <c r="H194" s="66"/>
      <c r="I194" s="93"/>
      <c r="J194" s="93"/>
      <c r="K194" s="93"/>
      <c r="L194" s="93"/>
    </row>
    <row r="195" spans="4:12" s="45" customFormat="1">
      <c r="D195"/>
      <c r="E195" s="93"/>
      <c r="G195" s="93"/>
      <c r="H195" s="66"/>
      <c r="I195" s="93"/>
      <c r="J195" s="93"/>
      <c r="K195" s="93"/>
      <c r="L195" s="93"/>
    </row>
    <row r="196" spans="4:12" s="45" customFormat="1">
      <c r="D196"/>
      <c r="E196" s="93"/>
      <c r="G196" s="93"/>
      <c r="H196" s="66"/>
      <c r="I196" s="93"/>
      <c r="J196" s="93"/>
      <c r="K196" s="93"/>
      <c r="L196" s="93"/>
    </row>
    <row r="197" spans="4:12" s="45" customFormat="1">
      <c r="D197"/>
      <c r="E197" s="93"/>
      <c r="G197" s="93"/>
      <c r="H197" s="66"/>
      <c r="I197" s="93"/>
      <c r="J197" s="93"/>
      <c r="K197" s="93"/>
      <c r="L197" s="93"/>
    </row>
    <row r="198" spans="4:12" s="45" customFormat="1">
      <c r="D198"/>
      <c r="E198" s="93"/>
      <c r="G198" s="93"/>
      <c r="H198" s="66"/>
      <c r="I198" s="93"/>
      <c r="J198" s="93"/>
      <c r="K198" s="93"/>
      <c r="L198" s="93"/>
    </row>
    <row r="199" spans="4:12" s="45" customFormat="1">
      <c r="D199"/>
      <c r="E199" s="93"/>
      <c r="G199" s="93"/>
      <c r="H199" s="66"/>
      <c r="I199" s="93"/>
      <c r="J199" s="93"/>
      <c r="K199" s="93"/>
      <c r="L199" s="93"/>
    </row>
    <row r="200" spans="4:12" s="45" customFormat="1">
      <c r="D200"/>
      <c r="E200" s="93"/>
      <c r="G200" s="93"/>
      <c r="H200" s="66"/>
      <c r="I200" s="93"/>
      <c r="J200" s="93"/>
      <c r="K200" s="93"/>
      <c r="L200" s="93"/>
    </row>
    <row r="201" spans="4:12" s="45" customFormat="1">
      <c r="D201"/>
      <c r="E201" s="93"/>
      <c r="G201" s="93"/>
      <c r="H201" s="66"/>
      <c r="I201" s="93"/>
      <c r="J201" s="93"/>
      <c r="K201" s="93"/>
      <c r="L201" s="93"/>
    </row>
    <row r="202" spans="4:12" s="45" customFormat="1">
      <c r="D202"/>
      <c r="E202" s="93"/>
      <c r="G202" s="93"/>
      <c r="H202" s="66"/>
      <c r="I202" s="93"/>
      <c r="J202" s="93"/>
      <c r="K202" s="93"/>
      <c r="L202" s="93"/>
    </row>
    <row r="203" spans="4:12" s="45" customFormat="1">
      <c r="D203"/>
      <c r="E203" s="93"/>
      <c r="G203" s="93"/>
      <c r="H203" s="66"/>
      <c r="I203" s="93"/>
      <c r="J203" s="93"/>
      <c r="K203" s="93"/>
      <c r="L203" s="93"/>
    </row>
    <row r="204" spans="4:12" s="45" customFormat="1">
      <c r="D204"/>
      <c r="E204" s="93"/>
      <c r="G204" s="93"/>
      <c r="H204" s="66"/>
      <c r="I204" s="93"/>
      <c r="J204" s="93"/>
      <c r="K204" s="93"/>
      <c r="L204" s="93"/>
    </row>
    <row r="205" spans="4:12" s="45" customFormat="1">
      <c r="D205"/>
      <c r="E205" s="93"/>
      <c r="G205" s="93"/>
      <c r="H205" s="66"/>
      <c r="I205" s="93"/>
      <c r="J205" s="93"/>
      <c r="K205" s="93"/>
      <c r="L205" s="93"/>
    </row>
    <row r="206" spans="4:12" s="45" customFormat="1">
      <c r="D206"/>
      <c r="E206" s="93"/>
      <c r="G206" s="93"/>
      <c r="H206" s="66"/>
      <c r="I206" s="93"/>
      <c r="J206" s="93"/>
      <c r="K206" s="93"/>
      <c r="L206" s="93"/>
    </row>
    <row r="207" spans="4:12" s="45" customFormat="1">
      <c r="D207"/>
      <c r="E207" s="93"/>
      <c r="G207" s="93"/>
      <c r="H207" s="66"/>
      <c r="I207" s="93"/>
      <c r="J207" s="93"/>
      <c r="K207" s="93"/>
      <c r="L207" s="93"/>
    </row>
    <row r="208" spans="4:12" s="45" customFormat="1">
      <c r="D208"/>
      <c r="E208" s="93"/>
      <c r="G208" s="93"/>
      <c r="H208" s="66"/>
      <c r="I208" s="93"/>
      <c r="J208" s="93"/>
      <c r="K208" s="93"/>
      <c r="L208" s="93"/>
    </row>
    <row r="209" spans="4:12" s="45" customFormat="1">
      <c r="D209"/>
      <c r="E209" s="93"/>
      <c r="G209" s="93"/>
      <c r="H209" s="66"/>
      <c r="I209" s="93"/>
      <c r="J209" s="93"/>
      <c r="K209" s="93"/>
      <c r="L209" s="93"/>
    </row>
    <row r="210" spans="4:12" s="45" customFormat="1">
      <c r="D210"/>
      <c r="E210" s="93"/>
      <c r="G210" s="93"/>
      <c r="H210" s="66"/>
      <c r="I210" s="93"/>
      <c r="J210" s="93"/>
      <c r="K210" s="93"/>
      <c r="L210" s="93"/>
    </row>
    <row r="211" spans="4:12" s="45" customFormat="1">
      <c r="D211"/>
      <c r="E211" s="93"/>
      <c r="G211" s="93"/>
      <c r="H211" s="66"/>
      <c r="I211" s="93"/>
      <c r="J211" s="93"/>
      <c r="K211" s="93"/>
      <c r="L211" s="93"/>
    </row>
    <row r="212" spans="4:12" s="45" customFormat="1">
      <c r="D212"/>
      <c r="E212" s="93"/>
      <c r="G212" s="93"/>
      <c r="H212" s="66"/>
      <c r="I212" s="93"/>
      <c r="J212" s="93"/>
      <c r="K212" s="93"/>
      <c r="L212" s="93"/>
    </row>
    <row r="213" spans="4:12" s="45" customFormat="1">
      <c r="D213"/>
      <c r="E213" s="93"/>
      <c r="G213" s="93"/>
      <c r="H213" s="66"/>
      <c r="I213" s="93"/>
      <c r="J213" s="93"/>
      <c r="K213" s="93"/>
      <c r="L213" s="93"/>
    </row>
    <row r="214" spans="4:12" s="45" customFormat="1">
      <c r="D214"/>
      <c r="E214" s="93"/>
      <c r="G214" s="93"/>
      <c r="H214" s="66"/>
      <c r="I214" s="93"/>
      <c r="J214" s="93"/>
      <c r="K214" s="93"/>
      <c r="L214" s="93"/>
    </row>
    <row r="215" spans="4:12" s="45" customFormat="1">
      <c r="D215"/>
      <c r="E215" s="93"/>
      <c r="G215" s="93"/>
      <c r="H215" s="66"/>
      <c r="I215" s="93"/>
      <c r="J215" s="93"/>
      <c r="K215" s="93"/>
      <c r="L215" s="93"/>
    </row>
    <row r="216" spans="4:12" s="45" customFormat="1">
      <c r="D216"/>
      <c r="E216" s="93"/>
      <c r="G216" s="93"/>
      <c r="H216" s="66"/>
      <c r="I216" s="93"/>
      <c r="J216" s="93"/>
      <c r="K216" s="93"/>
      <c r="L216" s="93"/>
    </row>
    <row r="217" spans="4:12" s="45" customFormat="1">
      <c r="D217"/>
      <c r="E217" s="93"/>
      <c r="G217" s="93"/>
      <c r="H217" s="66"/>
      <c r="I217" s="93"/>
      <c r="J217" s="93"/>
      <c r="K217" s="93"/>
      <c r="L217" s="93"/>
    </row>
    <row r="218" spans="4:12" s="45" customFormat="1">
      <c r="D218"/>
      <c r="E218" s="93"/>
      <c r="G218" s="93"/>
      <c r="H218" s="66"/>
      <c r="I218" s="93"/>
      <c r="J218" s="93"/>
      <c r="K218" s="93"/>
      <c r="L218" s="93"/>
    </row>
    <row r="219" spans="4:12" s="45" customFormat="1">
      <c r="D219"/>
      <c r="E219" s="93"/>
      <c r="G219" s="93"/>
      <c r="H219" s="66"/>
      <c r="I219" s="93"/>
      <c r="J219" s="93"/>
      <c r="K219" s="93"/>
      <c r="L219" s="93"/>
    </row>
    <row r="220" spans="4:12" s="45" customFormat="1">
      <c r="D220"/>
      <c r="E220" s="93"/>
      <c r="G220" s="93"/>
      <c r="H220" s="66"/>
      <c r="I220" s="93"/>
      <c r="J220" s="93"/>
      <c r="K220" s="93"/>
      <c r="L220" s="93"/>
    </row>
    <row r="221" spans="4:12" s="45" customFormat="1">
      <c r="D221"/>
      <c r="E221" s="93"/>
      <c r="G221" s="93"/>
      <c r="H221" s="66"/>
      <c r="I221" s="93"/>
      <c r="J221" s="93"/>
      <c r="K221" s="93"/>
      <c r="L221" s="93"/>
    </row>
    <row r="222" spans="4:12" s="45" customFormat="1">
      <c r="D222"/>
      <c r="E222" s="93"/>
      <c r="G222" s="93"/>
      <c r="H222" s="66"/>
      <c r="I222" s="93"/>
      <c r="J222" s="93"/>
      <c r="K222" s="93"/>
      <c r="L222" s="93"/>
    </row>
    <row r="223" spans="4:12" s="45" customFormat="1">
      <c r="D223"/>
      <c r="E223" s="93"/>
      <c r="G223" s="93"/>
      <c r="H223" s="66"/>
      <c r="I223" s="93"/>
      <c r="J223" s="93"/>
      <c r="K223" s="93"/>
      <c r="L223" s="93"/>
    </row>
    <row r="224" spans="4:12" s="45" customFormat="1">
      <c r="D224"/>
      <c r="E224" s="93"/>
      <c r="G224" s="93"/>
      <c r="H224" s="66"/>
      <c r="I224" s="93"/>
      <c r="J224" s="93"/>
      <c r="K224" s="93"/>
      <c r="L224" s="93"/>
    </row>
    <row r="225" spans="4:12" s="45" customFormat="1">
      <c r="D225"/>
      <c r="E225" s="93"/>
      <c r="G225" s="93"/>
      <c r="H225" s="66"/>
      <c r="I225" s="93"/>
      <c r="J225" s="93"/>
      <c r="K225" s="93"/>
      <c r="L225" s="93"/>
    </row>
    <row r="226" spans="4:12" s="45" customFormat="1">
      <c r="D226"/>
      <c r="E226" s="93"/>
      <c r="G226" s="93"/>
      <c r="H226" s="66"/>
      <c r="I226" s="93"/>
      <c r="J226" s="93"/>
      <c r="K226" s="93"/>
      <c r="L226" s="93"/>
    </row>
    <row r="227" spans="4:12" s="45" customFormat="1">
      <c r="D227"/>
      <c r="E227" s="93"/>
      <c r="G227" s="93"/>
      <c r="H227" s="66"/>
      <c r="I227" s="93"/>
      <c r="J227" s="93"/>
      <c r="K227" s="93"/>
      <c r="L227" s="93"/>
    </row>
    <row r="228" spans="4:12" s="45" customFormat="1">
      <c r="D228"/>
      <c r="E228" s="93"/>
      <c r="G228" s="93"/>
      <c r="H228" s="66"/>
      <c r="I228" s="93"/>
      <c r="J228" s="93"/>
      <c r="K228" s="93"/>
      <c r="L228" s="93"/>
    </row>
    <row r="229" spans="4:12" s="45" customFormat="1">
      <c r="D229"/>
      <c r="E229" s="93"/>
      <c r="G229" s="93"/>
      <c r="H229" s="66"/>
      <c r="I229" s="93"/>
      <c r="J229" s="93"/>
      <c r="K229" s="93"/>
      <c r="L229" s="93"/>
    </row>
    <row r="230" spans="4:12" s="45" customFormat="1">
      <c r="D230"/>
      <c r="E230" s="93"/>
      <c r="G230" s="93"/>
      <c r="H230" s="66"/>
      <c r="I230" s="93"/>
      <c r="J230" s="93"/>
      <c r="K230" s="93"/>
      <c r="L230" s="93"/>
    </row>
    <row r="231" spans="4:12" s="45" customFormat="1">
      <c r="D231"/>
      <c r="E231" s="93"/>
      <c r="G231" s="93"/>
      <c r="H231" s="66"/>
      <c r="I231" s="93"/>
      <c r="J231" s="93"/>
      <c r="K231" s="93"/>
      <c r="L231" s="93"/>
    </row>
    <row r="232" spans="4:12" s="45" customFormat="1">
      <c r="D232"/>
      <c r="E232" s="93"/>
      <c r="G232" s="93"/>
      <c r="H232" s="66"/>
      <c r="I232" s="93"/>
      <c r="J232" s="93"/>
      <c r="K232" s="93"/>
      <c r="L232" s="93"/>
    </row>
    <row r="233" spans="4:12" s="45" customFormat="1">
      <c r="D233"/>
      <c r="E233" s="93"/>
      <c r="G233" s="93"/>
      <c r="H233" s="66"/>
      <c r="I233" s="93"/>
      <c r="J233" s="93"/>
      <c r="K233" s="93"/>
      <c r="L233" s="93"/>
    </row>
    <row r="234" spans="4:12" s="45" customFormat="1">
      <c r="D234"/>
      <c r="E234" s="93"/>
      <c r="G234" s="93"/>
      <c r="H234" s="66"/>
      <c r="I234" s="93"/>
      <c r="J234" s="93"/>
      <c r="K234" s="93"/>
      <c r="L234" s="93"/>
    </row>
    <row r="235" spans="4:12" s="45" customFormat="1">
      <c r="D235"/>
      <c r="E235" s="93"/>
      <c r="G235" s="93"/>
      <c r="H235" s="66"/>
      <c r="I235" s="93"/>
      <c r="J235" s="93"/>
      <c r="K235" s="93"/>
      <c r="L235" s="93"/>
    </row>
    <row r="236" spans="4:12" s="45" customFormat="1">
      <c r="D236"/>
      <c r="E236" s="93"/>
      <c r="G236" s="93"/>
      <c r="H236" s="66"/>
      <c r="I236" s="93"/>
      <c r="J236" s="93"/>
      <c r="K236" s="93"/>
      <c r="L236" s="93"/>
    </row>
    <row r="237" spans="4:12" s="45" customFormat="1">
      <c r="D237"/>
      <c r="E237" s="93"/>
      <c r="G237" s="93"/>
      <c r="H237" s="66"/>
      <c r="I237" s="93"/>
      <c r="J237" s="93"/>
      <c r="K237" s="93"/>
      <c r="L237" s="93"/>
    </row>
    <row r="238" spans="4:12" s="45" customFormat="1">
      <c r="D238"/>
      <c r="E238" s="93"/>
      <c r="G238" s="93"/>
      <c r="H238" s="66"/>
      <c r="I238" s="93"/>
      <c r="J238" s="93"/>
      <c r="K238" s="93"/>
      <c r="L238" s="93"/>
    </row>
    <row r="239" spans="4:12" s="45" customFormat="1">
      <c r="D239"/>
      <c r="E239" s="93"/>
      <c r="G239" s="93"/>
      <c r="H239" s="66"/>
      <c r="I239" s="93"/>
      <c r="J239" s="93"/>
      <c r="K239" s="93"/>
      <c r="L239" s="93"/>
    </row>
    <row r="240" spans="4:12" s="45" customFormat="1">
      <c r="D240"/>
      <c r="E240" s="93"/>
      <c r="G240" s="93"/>
      <c r="H240" s="66"/>
      <c r="I240" s="93"/>
      <c r="J240" s="93"/>
      <c r="K240" s="93"/>
      <c r="L240" s="93"/>
    </row>
    <row r="241" spans="4:12" s="45" customFormat="1">
      <c r="D241"/>
      <c r="E241" s="93"/>
      <c r="G241" s="93"/>
      <c r="H241" s="66"/>
      <c r="I241" s="93"/>
      <c r="J241" s="93"/>
      <c r="K241" s="93"/>
      <c r="L241" s="93"/>
    </row>
    <row r="242" spans="4:12" s="45" customFormat="1">
      <c r="D242"/>
      <c r="E242" s="93"/>
      <c r="G242" s="93"/>
      <c r="H242" s="66"/>
      <c r="I242" s="93"/>
      <c r="J242" s="93"/>
      <c r="K242" s="93"/>
      <c r="L242" s="93"/>
    </row>
    <row r="243" spans="4:12" s="45" customFormat="1">
      <c r="D243"/>
      <c r="E243" s="93"/>
      <c r="G243" s="93"/>
      <c r="H243" s="66"/>
      <c r="I243" s="93"/>
      <c r="J243" s="93"/>
      <c r="K243" s="93"/>
      <c r="L243" s="93"/>
    </row>
    <row r="244" spans="4:12" s="45" customFormat="1">
      <c r="D244"/>
      <c r="E244" s="93"/>
      <c r="G244" s="93"/>
      <c r="H244" s="66"/>
      <c r="I244" s="93"/>
      <c r="J244" s="93"/>
      <c r="K244" s="93"/>
      <c r="L244" s="93"/>
    </row>
    <row r="245" spans="4:12" s="45" customFormat="1">
      <c r="D245"/>
      <c r="E245" s="93"/>
      <c r="G245" s="93"/>
      <c r="H245" s="66"/>
      <c r="I245" s="93"/>
      <c r="J245" s="93"/>
      <c r="K245" s="93"/>
      <c r="L245" s="93"/>
    </row>
    <row r="246" spans="4:12" s="45" customFormat="1">
      <c r="D246"/>
      <c r="E246" s="93"/>
      <c r="G246" s="93"/>
      <c r="H246" s="66"/>
      <c r="I246" s="93"/>
      <c r="J246" s="93"/>
      <c r="K246" s="93"/>
      <c r="L246" s="93"/>
    </row>
    <row r="247" spans="4:12" s="45" customFormat="1">
      <c r="D247"/>
      <c r="E247" s="93"/>
      <c r="G247" s="93"/>
      <c r="H247" s="66"/>
      <c r="I247" s="93"/>
      <c r="J247" s="93"/>
      <c r="K247" s="93"/>
      <c r="L247" s="93"/>
    </row>
    <row r="248" spans="4:12" s="45" customFormat="1">
      <c r="D248"/>
      <c r="E248" s="93"/>
      <c r="G248" s="93"/>
      <c r="H248" s="66"/>
      <c r="I248" s="93"/>
      <c r="J248" s="93"/>
      <c r="K248" s="93"/>
      <c r="L248" s="93"/>
    </row>
    <row r="249" spans="4:12" s="45" customFormat="1">
      <c r="D249"/>
      <c r="E249" s="93"/>
      <c r="G249" s="93"/>
      <c r="H249" s="66"/>
      <c r="I249" s="93"/>
      <c r="J249" s="93"/>
      <c r="K249" s="93"/>
      <c r="L249" s="93"/>
    </row>
    <row r="250" spans="4:12" s="45" customFormat="1">
      <c r="D250"/>
      <c r="E250" s="93"/>
      <c r="G250" s="93"/>
      <c r="H250" s="66"/>
      <c r="I250" s="93"/>
      <c r="J250" s="93"/>
      <c r="K250" s="93"/>
      <c r="L250" s="93"/>
    </row>
    <row r="251" spans="4:12" s="45" customFormat="1">
      <c r="D251"/>
      <c r="E251" s="93"/>
      <c r="G251" s="93"/>
      <c r="H251" s="66"/>
      <c r="I251" s="93"/>
      <c r="J251" s="93"/>
      <c r="K251" s="93"/>
      <c r="L251" s="93"/>
    </row>
    <row r="252" spans="4:12" s="45" customFormat="1">
      <c r="D252"/>
      <c r="E252" s="93"/>
      <c r="G252" s="93"/>
      <c r="H252" s="66"/>
      <c r="I252" s="93"/>
      <c r="J252" s="93"/>
      <c r="K252" s="93"/>
      <c r="L252" s="93"/>
    </row>
    <row r="253" spans="4:12" s="45" customFormat="1">
      <c r="D253"/>
      <c r="E253" s="93"/>
      <c r="G253" s="93"/>
      <c r="H253" s="66"/>
      <c r="I253" s="93"/>
      <c r="J253" s="93"/>
      <c r="K253" s="93"/>
      <c r="L253" s="93"/>
    </row>
    <row r="254" spans="4:12" s="45" customFormat="1">
      <c r="D254"/>
      <c r="E254" s="93"/>
      <c r="G254" s="93"/>
      <c r="H254" s="66"/>
      <c r="I254" s="93"/>
      <c r="J254" s="93"/>
      <c r="K254" s="93"/>
      <c r="L254" s="93"/>
    </row>
    <row r="255" spans="4:12" s="45" customFormat="1">
      <c r="D255"/>
      <c r="E255" s="93"/>
      <c r="G255" s="93"/>
      <c r="H255" s="66"/>
      <c r="I255" s="93"/>
      <c r="J255" s="93"/>
      <c r="K255" s="93"/>
      <c r="L255" s="93"/>
    </row>
    <row r="256" spans="4:12" s="45" customFormat="1">
      <c r="D256"/>
      <c r="E256" s="93"/>
      <c r="G256" s="93"/>
      <c r="H256" s="66"/>
      <c r="I256" s="93"/>
      <c r="J256" s="93"/>
      <c r="K256" s="93"/>
      <c r="L256" s="93"/>
    </row>
    <row r="257" spans="4:12" s="45" customFormat="1">
      <c r="D257"/>
      <c r="E257" s="93"/>
      <c r="G257" s="93"/>
      <c r="H257" s="66"/>
      <c r="I257" s="93"/>
      <c r="J257" s="93"/>
      <c r="K257" s="93"/>
      <c r="L257" s="93"/>
    </row>
    <row r="258" spans="4:12" s="45" customFormat="1">
      <c r="D258"/>
      <c r="E258" s="93"/>
      <c r="G258" s="93"/>
      <c r="H258" s="66"/>
      <c r="I258" s="93"/>
      <c r="J258" s="93"/>
      <c r="K258" s="93"/>
      <c r="L258" s="93"/>
    </row>
    <row r="259" spans="4:12" s="45" customFormat="1">
      <c r="D259"/>
      <c r="E259" s="93"/>
      <c r="G259" s="93"/>
      <c r="H259" s="66"/>
      <c r="I259" s="93"/>
      <c r="J259" s="93"/>
      <c r="K259" s="93"/>
      <c r="L259" s="93"/>
    </row>
    <row r="260" spans="4:12" s="45" customFormat="1">
      <c r="D260"/>
      <c r="E260" s="93"/>
      <c r="G260" s="93"/>
      <c r="H260" s="66"/>
      <c r="I260" s="93"/>
      <c r="J260" s="93"/>
      <c r="K260" s="93"/>
      <c r="L260" s="93"/>
    </row>
    <row r="261" spans="4:12" s="45" customFormat="1">
      <c r="D261"/>
      <c r="E261" s="93"/>
      <c r="G261" s="93"/>
      <c r="H261" s="66"/>
      <c r="I261" s="93"/>
      <c r="J261" s="93"/>
      <c r="K261" s="93"/>
      <c r="L261" s="93"/>
    </row>
    <row r="262" spans="4:12" s="45" customFormat="1">
      <c r="D262"/>
      <c r="E262" s="93"/>
      <c r="G262" s="93"/>
      <c r="H262" s="66"/>
      <c r="I262" s="93"/>
      <c r="J262" s="93"/>
      <c r="K262" s="93"/>
      <c r="L262" s="93"/>
    </row>
    <row r="263" spans="4:12" s="45" customFormat="1">
      <c r="D263"/>
      <c r="E263" s="93"/>
      <c r="G263" s="93"/>
      <c r="H263" s="66"/>
      <c r="I263" s="93"/>
      <c r="J263" s="93"/>
      <c r="K263" s="93"/>
      <c r="L263" s="93"/>
    </row>
    <row r="264" spans="4:12" s="45" customFormat="1">
      <c r="D264"/>
      <c r="E264" s="93"/>
      <c r="G264" s="93"/>
      <c r="H264" s="66"/>
      <c r="I264" s="93"/>
      <c r="J264" s="93"/>
      <c r="K264" s="93"/>
      <c r="L264" s="93"/>
    </row>
    <row r="265" spans="4:12" s="45" customFormat="1">
      <c r="D265"/>
      <c r="E265" s="93"/>
      <c r="G265" s="93"/>
      <c r="H265" s="66"/>
      <c r="I265" s="93"/>
      <c r="J265" s="93"/>
      <c r="K265" s="93"/>
      <c r="L265" s="93"/>
    </row>
    <row r="266" spans="4:12" s="45" customFormat="1">
      <c r="D266"/>
      <c r="E266" s="93"/>
      <c r="G266" s="93"/>
      <c r="H266" s="66"/>
      <c r="I266" s="93"/>
      <c r="J266" s="93"/>
      <c r="K266" s="93"/>
      <c r="L266" s="93"/>
    </row>
    <row r="267" spans="4:12" s="45" customFormat="1">
      <c r="D267"/>
      <c r="E267" s="93"/>
      <c r="G267" s="93"/>
      <c r="H267" s="66"/>
      <c r="I267" s="93"/>
      <c r="J267" s="93"/>
      <c r="K267" s="93"/>
      <c r="L267" s="93"/>
    </row>
    <row r="268" spans="4:12" s="45" customFormat="1">
      <c r="D268"/>
      <c r="E268" s="93"/>
      <c r="G268" s="93"/>
      <c r="H268" s="66"/>
      <c r="I268" s="93"/>
      <c r="J268" s="93"/>
      <c r="K268" s="93"/>
      <c r="L268" s="93"/>
    </row>
    <row r="269" spans="4:12" s="45" customFormat="1">
      <c r="D269"/>
      <c r="E269" s="93"/>
      <c r="G269" s="93"/>
      <c r="H269" s="66"/>
      <c r="I269" s="93"/>
      <c r="J269" s="93"/>
      <c r="K269" s="93"/>
      <c r="L269" s="93"/>
    </row>
    <row r="270" spans="4:12" s="45" customFormat="1">
      <c r="D270"/>
      <c r="E270" s="93"/>
      <c r="G270" s="93"/>
      <c r="H270" s="66"/>
      <c r="I270" s="93"/>
      <c r="J270" s="93"/>
      <c r="K270" s="93"/>
      <c r="L270" s="93"/>
    </row>
    <row r="271" spans="4:12" s="45" customFormat="1">
      <c r="D271"/>
      <c r="E271" s="93"/>
      <c r="G271" s="93"/>
      <c r="H271" s="66"/>
      <c r="I271" s="93"/>
      <c r="J271" s="93"/>
      <c r="K271" s="93"/>
      <c r="L271" s="93"/>
    </row>
    <row r="272" spans="4:12" s="45" customFormat="1">
      <c r="D272"/>
      <c r="E272" s="93"/>
      <c r="G272" s="93"/>
      <c r="H272" s="66"/>
      <c r="I272" s="93"/>
      <c r="J272" s="93"/>
      <c r="K272" s="93"/>
      <c r="L272" s="93"/>
    </row>
    <row r="273" spans="4:12" s="45" customFormat="1">
      <c r="D273"/>
      <c r="E273" s="93"/>
      <c r="G273" s="93"/>
      <c r="H273" s="66"/>
      <c r="I273" s="93"/>
      <c r="J273" s="93"/>
      <c r="K273" s="93"/>
      <c r="L273" s="93"/>
    </row>
    <row r="274" spans="4:12" s="45" customFormat="1">
      <c r="D274"/>
      <c r="E274" s="93"/>
      <c r="G274" s="93"/>
      <c r="H274" s="66"/>
      <c r="I274" s="93"/>
      <c r="J274" s="93"/>
      <c r="K274" s="93"/>
      <c r="L274" s="93"/>
    </row>
    <row r="275" spans="4:12" s="45" customFormat="1">
      <c r="D275"/>
      <c r="E275" s="93"/>
      <c r="G275" s="93"/>
      <c r="H275" s="66"/>
      <c r="I275" s="93"/>
      <c r="J275" s="93"/>
      <c r="K275" s="93"/>
      <c r="L275" s="93"/>
    </row>
    <row r="276" spans="4:12" s="45" customFormat="1">
      <c r="D276"/>
      <c r="E276" s="93"/>
      <c r="G276" s="93"/>
      <c r="H276" s="66"/>
      <c r="I276" s="93"/>
      <c r="J276" s="93"/>
      <c r="K276" s="93"/>
      <c r="L276" s="93"/>
    </row>
    <row r="277" spans="4:12" s="45" customFormat="1">
      <c r="D277"/>
      <c r="E277" s="93"/>
      <c r="G277" s="93"/>
      <c r="H277" s="66"/>
      <c r="I277" s="93"/>
      <c r="J277" s="93"/>
      <c r="K277" s="93"/>
      <c r="L277" s="93"/>
    </row>
    <row r="278" spans="4:12" s="45" customFormat="1">
      <c r="D278"/>
      <c r="E278" s="93"/>
      <c r="G278" s="93"/>
      <c r="H278" s="66"/>
      <c r="I278" s="93"/>
      <c r="J278" s="93"/>
      <c r="K278" s="93"/>
      <c r="L278" s="93"/>
    </row>
    <row r="279" spans="4:12" s="45" customFormat="1">
      <c r="D279"/>
      <c r="E279" s="93"/>
      <c r="G279" s="93"/>
      <c r="H279" s="66"/>
      <c r="I279" s="93"/>
      <c r="J279" s="93"/>
      <c r="K279" s="93"/>
      <c r="L279" s="93"/>
    </row>
    <row r="280" spans="4:12" s="45" customFormat="1">
      <c r="D280"/>
      <c r="E280" s="93"/>
      <c r="G280" s="93"/>
      <c r="H280" s="66"/>
      <c r="I280" s="93"/>
      <c r="J280" s="93"/>
      <c r="K280" s="93"/>
      <c r="L280" s="93"/>
    </row>
    <row r="281" spans="4:12" s="45" customFormat="1">
      <c r="D281"/>
      <c r="E281" s="93"/>
      <c r="G281" s="93"/>
      <c r="H281" s="66"/>
      <c r="I281" s="93"/>
      <c r="J281" s="93"/>
      <c r="K281" s="93"/>
      <c r="L281" s="93"/>
    </row>
    <row r="282" spans="4:12" s="45" customFormat="1">
      <c r="D282"/>
      <c r="E282" s="93"/>
      <c r="G282" s="93"/>
      <c r="H282" s="66"/>
      <c r="I282" s="93"/>
      <c r="J282" s="93"/>
      <c r="K282" s="93"/>
      <c r="L282" s="93"/>
    </row>
    <row r="283" spans="4:12" s="45" customFormat="1">
      <c r="D283"/>
      <c r="E283" s="93"/>
      <c r="G283" s="93"/>
      <c r="H283" s="66"/>
      <c r="I283" s="93"/>
      <c r="J283" s="93"/>
      <c r="K283" s="93"/>
      <c r="L283" s="93"/>
    </row>
    <row r="284" spans="4:12" s="45" customFormat="1">
      <c r="D284"/>
      <c r="E284" s="93"/>
      <c r="G284" s="93"/>
      <c r="H284" s="66"/>
      <c r="I284" s="93"/>
      <c r="J284" s="93"/>
      <c r="K284" s="93"/>
      <c r="L284" s="93"/>
    </row>
    <row r="285" spans="4:12" s="45" customFormat="1">
      <c r="D285"/>
      <c r="E285" s="93"/>
      <c r="G285" s="93"/>
      <c r="H285" s="66"/>
      <c r="I285" s="93"/>
      <c r="J285" s="93"/>
      <c r="K285" s="93"/>
      <c r="L285" s="93"/>
    </row>
    <row r="286" spans="4:12" s="45" customFormat="1">
      <c r="D286"/>
      <c r="E286" s="93"/>
      <c r="G286" s="93"/>
      <c r="H286" s="66"/>
      <c r="I286" s="93"/>
      <c r="J286" s="93"/>
      <c r="K286" s="93"/>
      <c r="L286" s="93"/>
    </row>
    <row r="287" spans="4:12" s="45" customFormat="1">
      <c r="D287"/>
      <c r="E287" s="93"/>
      <c r="G287" s="93"/>
      <c r="H287" s="66"/>
      <c r="I287" s="93"/>
      <c r="J287" s="93"/>
      <c r="K287" s="93"/>
      <c r="L287" s="93"/>
    </row>
    <row r="288" spans="4:12" s="45" customFormat="1">
      <c r="D288"/>
      <c r="E288" s="93"/>
      <c r="G288" s="93"/>
      <c r="H288" s="66"/>
      <c r="I288" s="93"/>
      <c r="J288" s="93"/>
      <c r="K288" s="93"/>
      <c r="L288" s="93"/>
    </row>
    <row r="289" spans="4:12" s="45" customFormat="1">
      <c r="D289"/>
      <c r="E289" s="93"/>
      <c r="G289" s="93"/>
      <c r="H289" s="66"/>
      <c r="I289" s="93"/>
      <c r="J289" s="93"/>
      <c r="K289" s="93"/>
      <c r="L289" s="93"/>
    </row>
    <row r="290" spans="4:12" s="45" customFormat="1">
      <c r="D290"/>
      <c r="E290" s="93"/>
      <c r="G290" s="93"/>
      <c r="H290" s="66"/>
      <c r="I290" s="93"/>
      <c r="J290" s="93"/>
      <c r="K290" s="93"/>
      <c r="L290" s="93"/>
    </row>
    <row r="291" spans="4:12" s="45" customFormat="1">
      <c r="D291"/>
      <c r="E291" s="93"/>
      <c r="G291" s="93"/>
      <c r="H291" s="66"/>
      <c r="I291" s="93"/>
      <c r="J291" s="93"/>
      <c r="K291" s="93"/>
      <c r="L291" s="93"/>
    </row>
    <row r="292" spans="4:12" s="45" customFormat="1">
      <c r="D292"/>
      <c r="E292" s="93"/>
      <c r="G292" s="93"/>
      <c r="H292" s="66"/>
      <c r="I292" s="93"/>
      <c r="J292" s="93"/>
      <c r="K292" s="93"/>
      <c r="L292" s="93"/>
    </row>
    <row r="293" spans="4:12" s="45" customFormat="1">
      <c r="D293"/>
      <c r="E293" s="93"/>
      <c r="G293" s="93"/>
      <c r="H293" s="66"/>
      <c r="I293" s="93"/>
      <c r="J293" s="93"/>
      <c r="K293" s="93"/>
      <c r="L293" s="93"/>
    </row>
    <row r="294" spans="4:12" s="45" customFormat="1">
      <c r="D294"/>
      <c r="E294" s="93"/>
      <c r="G294" s="93"/>
      <c r="H294" s="66"/>
      <c r="I294" s="93"/>
      <c r="J294" s="93"/>
      <c r="K294" s="93"/>
      <c r="L294" s="93"/>
    </row>
    <row r="295" spans="4:12" s="45" customFormat="1">
      <c r="D295"/>
      <c r="E295" s="93"/>
      <c r="G295" s="93"/>
      <c r="H295" s="66"/>
      <c r="I295" s="93"/>
      <c r="J295" s="93"/>
      <c r="K295" s="93"/>
      <c r="L295" s="93"/>
    </row>
    <row r="296" spans="4:12" s="45" customFormat="1">
      <c r="D296"/>
      <c r="E296" s="93"/>
      <c r="G296" s="93"/>
      <c r="H296" s="66"/>
      <c r="I296" s="93"/>
      <c r="J296" s="93"/>
      <c r="K296" s="93"/>
      <c r="L296" s="93"/>
    </row>
    <row r="297" spans="4:12" s="45" customFormat="1">
      <c r="D297"/>
      <c r="E297" s="93"/>
      <c r="G297" s="93"/>
      <c r="H297" s="66"/>
      <c r="I297" s="93"/>
      <c r="J297" s="93"/>
      <c r="K297" s="93"/>
      <c r="L297" s="93"/>
    </row>
    <row r="298" spans="4:12" s="45" customFormat="1">
      <c r="D298"/>
      <c r="E298" s="93"/>
      <c r="G298" s="93"/>
      <c r="H298" s="66"/>
      <c r="I298" s="93"/>
      <c r="J298" s="93"/>
      <c r="K298" s="93"/>
      <c r="L298" s="93"/>
    </row>
    <row r="299" spans="4:12" s="45" customFormat="1">
      <c r="D299"/>
      <c r="E299" s="93"/>
      <c r="G299" s="93"/>
      <c r="H299" s="66"/>
      <c r="I299" s="93"/>
      <c r="J299" s="93"/>
      <c r="K299" s="93"/>
      <c r="L299" s="93"/>
    </row>
    <row r="300" spans="4:12" s="45" customFormat="1">
      <c r="D300"/>
      <c r="E300" s="93"/>
      <c r="G300" s="93"/>
      <c r="H300" s="66"/>
      <c r="I300" s="93"/>
      <c r="J300" s="93"/>
      <c r="K300" s="93"/>
      <c r="L300" s="93"/>
    </row>
    <row r="301" spans="4:12" s="45" customFormat="1">
      <c r="D301"/>
      <c r="E301" s="93"/>
      <c r="G301" s="93"/>
      <c r="H301" s="66"/>
      <c r="I301" s="93"/>
      <c r="J301" s="93"/>
      <c r="K301" s="93"/>
      <c r="L301" s="93"/>
    </row>
    <row r="302" spans="4:12" s="45" customFormat="1">
      <c r="D302"/>
      <c r="E302" s="93"/>
      <c r="G302" s="93"/>
      <c r="H302" s="66"/>
      <c r="I302" s="93"/>
      <c r="J302" s="93"/>
      <c r="K302" s="93"/>
      <c r="L302" s="93"/>
    </row>
    <row r="303" spans="4:12" s="45" customFormat="1">
      <c r="D303"/>
      <c r="E303" s="93"/>
      <c r="G303" s="93"/>
      <c r="H303" s="66"/>
      <c r="I303" s="93"/>
      <c r="J303" s="93"/>
      <c r="K303" s="93"/>
      <c r="L303" s="93"/>
    </row>
    <row r="304" spans="4:12" s="45" customFormat="1">
      <c r="D304"/>
      <c r="E304" s="93"/>
      <c r="G304" s="93"/>
      <c r="H304" s="66"/>
      <c r="I304" s="93"/>
      <c r="J304" s="93"/>
      <c r="K304" s="93"/>
      <c r="L304" s="93"/>
    </row>
    <row r="305" spans="4:12" s="45" customFormat="1">
      <c r="D305"/>
      <c r="E305" s="93"/>
      <c r="G305" s="93"/>
      <c r="H305" s="66"/>
      <c r="I305" s="93"/>
      <c r="J305" s="93"/>
      <c r="K305" s="93"/>
      <c r="L305" s="93"/>
    </row>
    <row r="306" spans="4:12" s="45" customFormat="1">
      <c r="D306"/>
      <c r="E306" s="93"/>
      <c r="G306" s="93"/>
      <c r="H306" s="66"/>
      <c r="I306" s="93"/>
      <c r="J306" s="93"/>
      <c r="K306" s="93"/>
      <c r="L306" s="93"/>
    </row>
    <row r="307" spans="4:12" s="45" customFormat="1">
      <c r="D307"/>
      <c r="E307" s="93"/>
      <c r="G307" s="93"/>
      <c r="H307" s="66"/>
      <c r="I307" s="93"/>
      <c r="J307" s="93"/>
      <c r="K307" s="93"/>
      <c r="L307" s="93"/>
    </row>
    <row r="308" spans="4:12" s="45" customFormat="1">
      <c r="D308"/>
      <c r="E308" s="93"/>
      <c r="G308" s="93"/>
      <c r="H308" s="66"/>
      <c r="I308" s="93"/>
      <c r="J308" s="93"/>
      <c r="K308" s="93"/>
      <c r="L308" s="93"/>
    </row>
    <row r="309" spans="4:12" s="45" customFormat="1">
      <c r="D309"/>
      <c r="E309" s="93"/>
      <c r="G309" s="93"/>
      <c r="H309" s="66"/>
      <c r="I309" s="93"/>
      <c r="J309" s="93"/>
      <c r="K309" s="93"/>
      <c r="L309" s="93"/>
    </row>
    <row r="310" spans="4:12" s="45" customFormat="1">
      <c r="D310"/>
      <c r="E310" s="93"/>
      <c r="G310" s="93"/>
      <c r="H310" s="66"/>
      <c r="I310" s="93"/>
      <c r="J310" s="93"/>
      <c r="K310" s="93"/>
      <c r="L310" s="93"/>
    </row>
    <row r="311" spans="4:12" s="45" customFormat="1">
      <c r="D311"/>
      <c r="E311" s="93"/>
      <c r="G311" s="93"/>
      <c r="H311" s="66"/>
      <c r="I311" s="93"/>
      <c r="J311" s="93"/>
      <c r="K311" s="93"/>
      <c r="L311" s="93"/>
    </row>
    <row r="312" spans="4:12" s="45" customFormat="1">
      <c r="D312"/>
      <c r="E312" s="93"/>
      <c r="G312" s="93"/>
      <c r="H312" s="66"/>
      <c r="I312" s="93"/>
      <c r="J312" s="93"/>
      <c r="K312" s="93"/>
      <c r="L312" s="93"/>
    </row>
    <row r="313" spans="4:12" s="45" customFormat="1">
      <c r="D313"/>
      <c r="E313" s="93"/>
      <c r="G313" s="93"/>
      <c r="H313" s="66"/>
      <c r="I313" s="93"/>
      <c r="J313" s="93"/>
      <c r="K313" s="93"/>
      <c r="L313" s="93"/>
    </row>
    <row r="314" spans="4:12" s="45" customFormat="1">
      <c r="D314"/>
      <c r="E314" s="93"/>
      <c r="G314" s="93"/>
      <c r="H314" s="66"/>
      <c r="I314" s="93"/>
      <c r="J314" s="93"/>
      <c r="K314" s="93"/>
      <c r="L314" s="93"/>
    </row>
    <row r="315" spans="4:12" s="45" customFormat="1">
      <c r="D315"/>
      <c r="E315" s="93"/>
      <c r="G315" s="93"/>
      <c r="H315" s="66"/>
      <c r="I315" s="93"/>
      <c r="J315" s="93"/>
      <c r="K315" s="93"/>
      <c r="L315" s="93"/>
    </row>
    <row r="316" spans="4:12" s="45" customFormat="1">
      <c r="D316"/>
      <c r="E316" s="93"/>
      <c r="G316" s="93"/>
      <c r="H316" s="66"/>
      <c r="I316" s="93"/>
      <c r="J316" s="93"/>
      <c r="K316" s="93"/>
      <c r="L316" s="93"/>
    </row>
    <row r="317" spans="4:12" s="45" customFormat="1">
      <c r="D317"/>
      <c r="E317" s="93"/>
      <c r="G317" s="93"/>
      <c r="H317" s="66"/>
      <c r="I317" s="93"/>
      <c r="J317" s="93"/>
      <c r="K317" s="93"/>
      <c r="L317" s="93"/>
    </row>
    <row r="318" spans="4:12" s="45" customFormat="1">
      <c r="D318"/>
      <c r="E318" s="93"/>
      <c r="G318" s="93"/>
      <c r="H318" s="66"/>
      <c r="I318" s="93"/>
      <c r="J318" s="93"/>
      <c r="K318" s="93"/>
      <c r="L318" s="93"/>
    </row>
    <row r="319" spans="4:12" s="45" customFormat="1">
      <c r="D319"/>
      <c r="E319" s="93"/>
      <c r="G319" s="93"/>
      <c r="H319" s="66"/>
      <c r="I319" s="93"/>
      <c r="J319" s="93"/>
      <c r="K319" s="93"/>
      <c r="L319" s="93"/>
    </row>
    <row r="320" spans="4:12" s="45" customFormat="1">
      <c r="D320"/>
      <c r="E320" s="93"/>
      <c r="G320" s="93"/>
      <c r="H320" s="66"/>
      <c r="I320" s="93"/>
      <c r="J320" s="93"/>
      <c r="K320" s="93"/>
      <c r="L320" s="93"/>
    </row>
    <row r="321" spans="4:12" s="45" customFormat="1">
      <c r="D321"/>
      <c r="E321" s="93"/>
      <c r="G321" s="93"/>
      <c r="H321" s="66"/>
      <c r="I321" s="93"/>
      <c r="J321" s="93"/>
      <c r="K321" s="93"/>
      <c r="L321" s="93"/>
    </row>
    <row r="322" spans="4:12" s="45" customFormat="1">
      <c r="D322"/>
      <c r="E322" s="93"/>
      <c r="G322" s="93"/>
      <c r="H322" s="66"/>
      <c r="I322" s="93"/>
      <c r="J322" s="93"/>
      <c r="K322" s="93"/>
      <c r="L322" s="93"/>
    </row>
    <row r="323" spans="4:12" s="45" customFormat="1">
      <c r="D323"/>
      <c r="E323" s="93"/>
      <c r="G323" s="93"/>
      <c r="H323" s="66"/>
      <c r="I323" s="93"/>
      <c r="J323" s="93"/>
      <c r="K323" s="93"/>
      <c r="L323" s="93"/>
    </row>
    <row r="324" spans="4:12" s="45" customFormat="1">
      <c r="D324"/>
      <c r="E324" s="93"/>
      <c r="G324" s="93"/>
      <c r="H324" s="66"/>
      <c r="I324" s="93"/>
      <c r="J324" s="93"/>
      <c r="K324" s="93"/>
      <c r="L324" s="93"/>
    </row>
    <row r="325" spans="4:12" s="45" customFormat="1">
      <c r="D325"/>
      <c r="E325" s="93"/>
      <c r="G325" s="93"/>
      <c r="H325" s="66"/>
      <c r="I325" s="93"/>
      <c r="J325" s="93"/>
      <c r="K325" s="93"/>
      <c r="L325" s="93"/>
    </row>
    <row r="326" spans="4:12" s="45" customFormat="1">
      <c r="D326"/>
      <c r="E326" s="93"/>
      <c r="G326" s="93"/>
      <c r="H326" s="66"/>
      <c r="I326" s="93"/>
      <c r="J326" s="93"/>
      <c r="K326" s="93"/>
      <c r="L326" s="93"/>
    </row>
    <row r="327" spans="4:12" s="45" customFormat="1">
      <c r="D327"/>
      <c r="E327" s="93"/>
      <c r="G327" s="93"/>
      <c r="H327" s="66"/>
      <c r="I327" s="93"/>
      <c r="J327" s="93"/>
      <c r="K327" s="93"/>
      <c r="L327" s="93"/>
    </row>
    <row r="328" spans="4:12" s="45" customFormat="1">
      <c r="D328"/>
      <c r="E328" s="93"/>
      <c r="G328" s="93"/>
      <c r="H328" s="66"/>
      <c r="I328" s="93"/>
      <c r="J328" s="93"/>
      <c r="K328" s="93"/>
      <c r="L328" s="93"/>
    </row>
    <row r="329" spans="4:12" s="45" customFormat="1">
      <c r="D329"/>
      <c r="E329" s="93"/>
      <c r="G329" s="93"/>
      <c r="H329" s="66"/>
      <c r="I329" s="93"/>
      <c r="J329" s="93"/>
      <c r="K329" s="93"/>
      <c r="L329" s="93"/>
    </row>
    <row r="330" spans="4:12" s="45" customFormat="1">
      <c r="D330"/>
      <c r="E330" s="93"/>
      <c r="G330" s="93"/>
      <c r="H330" s="66"/>
      <c r="I330" s="93"/>
      <c r="J330" s="93"/>
      <c r="K330" s="93"/>
      <c r="L330" s="93"/>
    </row>
    <row r="331" spans="4:12" s="45" customFormat="1">
      <c r="D331"/>
      <c r="E331" s="93"/>
      <c r="G331" s="93"/>
      <c r="H331" s="66"/>
      <c r="I331" s="93"/>
      <c r="J331" s="93"/>
      <c r="K331" s="93"/>
      <c r="L331" s="93"/>
    </row>
    <row r="332" spans="4:12" s="45" customFormat="1">
      <c r="D332"/>
      <c r="E332" s="93"/>
      <c r="G332" s="93"/>
      <c r="H332" s="66"/>
      <c r="I332" s="93"/>
      <c r="J332" s="93"/>
      <c r="K332" s="93"/>
      <c r="L332" s="93"/>
    </row>
    <row r="333" spans="4:12" s="45" customFormat="1">
      <c r="D333"/>
      <c r="E333" s="93"/>
      <c r="G333" s="93"/>
      <c r="H333" s="66"/>
      <c r="I333" s="93"/>
      <c r="J333" s="93"/>
      <c r="K333" s="93"/>
      <c r="L333" s="93"/>
    </row>
    <row r="334" spans="4:12" s="45" customFormat="1">
      <c r="D334"/>
      <c r="E334" s="93"/>
      <c r="G334" s="93"/>
      <c r="H334" s="66"/>
      <c r="I334" s="93"/>
      <c r="J334" s="93"/>
      <c r="K334" s="93"/>
      <c r="L334" s="93"/>
    </row>
    <row r="335" spans="4:12" s="45" customFormat="1">
      <c r="D335"/>
      <c r="E335" s="93"/>
      <c r="G335" s="93"/>
      <c r="H335" s="66"/>
      <c r="I335" s="93"/>
      <c r="J335" s="93"/>
      <c r="K335" s="93"/>
      <c r="L335" s="93"/>
    </row>
    <row r="336" spans="4:12" s="45" customFormat="1">
      <c r="D336"/>
      <c r="E336" s="93"/>
      <c r="G336" s="93"/>
      <c r="H336" s="66"/>
      <c r="I336" s="93"/>
      <c r="J336" s="93"/>
      <c r="K336" s="93"/>
      <c r="L336" s="93"/>
    </row>
    <row r="337" spans="4:12" s="45" customFormat="1">
      <c r="D337"/>
      <c r="E337" s="93"/>
      <c r="G337" s="93"/>
      <c r="H337" s="66"/>
      <c r="I337" s="93"/>
      <c r="J337" s="93"/>
      <c r="K337" s="93"/>
      <c r="L337" s="93"/>
    </row>
    <row r="338" spans="4:12" s="45" customFormat="1">
      <c r="D338"/>
      <c r="E338" s="93"/>
      <c r="G338" s="93"/>
      <c r="H338" s="66"/>
      <c r="I338" s="93"/>
      <c r="J338" s="93"/>
      <c r="K338" s="93"/>
      <c r="L338" s="93"/>
    </row>
    <row r="339" spans="4:12" s="45" customFormat="1">
      <c r="D339"/>
      <c r="E339" s="93"/>
      <c r="G339" s="93"/>
      <c r="H339" s="66"/>
      <c r="I339" s="93"/>
      <c r="J339" s="93"/>
      <c r="K339" s="93"/>
      <c r="L339" s="93"/>
    </row>
    <row r="340" spans="4:12" s="45" customFormat="1">
      <c r="D340"/>
      <c r="E340" s="93"/>
      <c r="G340" s="93"/>
      <c r="H340" s="66"/>
      <c r="I340" s="93"/>
      <c r="J340" s="93"/>
      <c r="K340" s="93"/>
      <c r="L340" s="93"/>
    </row>
    <row r="341" spans="4:12" s="45" customFormat="1">
      <c r="D341"/>
      <c r="E341" s="93"/>
      <c r="G341" s="93"/>
      <c r="H341" s="66"/>
      <c r="I341" s="93"/>
      <c r="J341" s="93"/>
      <c r="K341" s="93"/>
      <c r="L341" s="93"/>
    </row>
    <row r="342" spans="4:12" s="45" customFormat="1">
      <c r="D342"/>
      <c r="E342" s="93"/>
      <c r="G342" s="93"/>
      <c r="H342" s="66"/>
      <c r="I342" s="93"/>
      <c r="J342" s="93"/>
      <c r="K342" s="93"/>
      <c r="L342" s="93"/>
    </row>
    <row r="343" spans="4:12" s="45" customFormat="1">
      <c r="D343"/>
      <c r="E343" s="93"/>
      <c r="G343" s="93"/>
      <c r="H343" s="66"/>
      <c r="I343" s="93"/>
      <c r="J343" s="93"/>
      <c r="K343" s="93"/>
      <c r="L343" s="93"/>
    </row>
    <row r="344" spans="4:12" s="45" customFormat="1">
      <c r="D344"/>
      <c r="E344" s="93"/>
      <c r="G344" s="93"/>
      <c r="H344" s="66"/>
      <c r="I344" s="93"/>
      <c r="J344" s="93"/>
      <c r="K344" s="93"/>
      <c r="L344" s="93"/>
    </row>
    <row r="345" spans="4:12" s="45" customFormat="1">
      <c r="D345"/>
      <c r="E345" s="93"/>
      <c r="G345" s="93"/>
      <c r="H345" s="66"/>
      <c r="I345" s="93"/>
      <c r="J345" s="93"/>
      <c r="K345" s="93"/>
      <c r="L345" s="93"/>
    </row>
    <row r="346" spans="4:12" s="45" customFormat="1">
      <c r="D346"/>
      <c r="E346" s="93"/>
      <c r="G346" s="93"/>
      <c r="H346" s="66"/>
      <c r="I346" s="93"/>
      <c r="J346" s="93"/>
      <c r="K346" s="93"/>
      <c r="L346" s="93"/>
    </row>
    <row r="347" spans="4:12" s="45" customFormat="1">
      <c r="D347"/>
      <c r="E347" s="93"/>
      <c r="G347" s="93"/>
      <c r="H347" s="66"/>
      <c r="I347" s="93"/>
      <c r="J347" s="93"/>
      <c r="K347" s="93"/>
      <c r="L347" s="93"/>
    </row>
    <row r="348" spans="4:12" s="45" customFormat="1">
      <c r="D348"/>
      <c r="E348" s="93"/>
      <c r="G348" s="93"/>
      <c r="H348" s="66"/>
      <c r="I348" s="93"/>
      <c r="J348" s="93"/>
      <c r="K348" s="93"/>
      <c r="L348" s="93"/>
    </row>
    <row r="349" spans="4:12" s="45" customFormat="1">
      <c r="D349"/>
      <c r="E349" s="93"/>
      <c r="G349" s="93"/>
      <c r="H349" s="66"/>
      <c r="I349" s="93"/>
      <c r="J349" s="93"/>
      <c r="K349" s="93"/>
      <c r="L349" s="93"/>
    </row>
    <row r="350" spans="4:12" s="45" customFormat="1">
      <c r="D350"/>
      <c r="E350" s="93"/>
      <c r="G350" s="93"/>
      <c r="H350" s="66"/>
      <c r="I350" s="93"/>
      <c r="J350" s="93"/>
      <c r="K350" s="93"/>
      <c r="L350" s="93"/>
    </row>
    <row r="351" spans="4:12" s="45" customFormat="1">
      <c r="D351"/>
      <c r="E351" s="93"/>
      <c r="G351" s="93"/>
      <c r="H351" s="66"/>
      <c r="I351" s="93"/>
      <c r="J351" s="93"/>
      <c r="K351" s="93"/>
      <c r="L351" s="93"/>
    </row>
    <row r="352" spans="4:12" s="45" customFormat="1">
      <c r="D352"/>
      <c r="E352" s="93"/>
      <c r="G352" s="93"/>
      <c r="H352" s="66"/>
      <c r="I352" s="93"/>
      <c r="J352" s="93"/>
      <c r="K352" s="93"/>
      <c r="L352" s="93"/>
    </row>
    <row r="353" spans="4:12" s="45" customFormat="1">
      <c r="D353"/>
      <c r="E353" s="93"/>
      <c r="G353" s="93"/>
      <c r="H353" s="66"/>
      <c r="I353" s="93"/>
      <c r="J353" s="93"/>
      <c r="K353" s="93"/>
      <c r="L353" s="93"/>
    </row>
    <row r="354" spans="4:12" s="45" customFormat="1">
      <c r="D354"/>
      <c r="E354" s="93"/>
      <c r="G354" s="93"/>
      <c r="H354" s="66"/>
      <c r="I354" s="93"/>
      <c r="J354" s="93"/>
      <c r="K354" s="93"/>
      <c r="L354" s="93"/>
    </row>
    <row r="355" spans="4:12" s="45" customFormat="1">
      <c r="D355"/>
      <c r="E355" s="93"/>
      <c r="G355" s="93"/>
      <c r="H355" s="66"/>
      <c r="I355" s="93"/>
      <c r="J355" s="93"/>
      <c r="K355" s="93"/>
      <c r="L355" s="93"/>
    </row>
    <row r="356" spans="4:12" s="45" customFormat="1">
      <c r="D356"/>
      <c r="E356" s="93"/>
      <c r="G356" s="93"/>
      <c r="H356" s="66"/>
      <c r="I356" s="93"/>
      <c r="J356" s="93"/>
      <c r="K356" s="93"/>
      <c r="L356" s="93"/>
    </row>
    <row r="357" spans="4:12" s="45" customFormat="1">
      <c r="D357"/>
      <c r="E357" s="93"/>
      <c r="G357" s="93"/>
      <c r="H357" s="66"/>
      <c r="I357" s="93"/>
      <c r="J357" s="93"/>
      <c r="K357" s="93"/>
      <c r="L357" s="93"/>
    </row>
    <row r="358" spans="4:12" s="45" customFormat="1">
      <c r="D358"/>
      <c r="E358" s="93"/>
      <c r="G358" s="93"/>
      <c r="H358" s="66"/>
      <c r="I358" s="93"/>
      <c r="J358" s="93"/>
      <c r="K358" s="93"/>
      <c r="L358" s="93"/>
    </row>
    <row r="359" spans="4:12" s="45" customFormat="1">
      <c r="D359"/>
      <c r="E359" s="93"/>
      <c r="G359" s="93"/>
      <c r="H359" s="66"/>
      <c r="I359" s="93"/>
      <c r="J359" s="93"/>
      <c r="K359" s="93"/>
      <c r="L359" s="93"/>
    </row>
    <row r="360" spans="4:12" s="45" customFormat="1">
      <c r="D360"/>
      <c r="E360" s="93"/>
      <c r="G360" s="93"/>
      <c r="H360" s="66"/>
      <c r="I360" s="93"/>
      <c r="J360" s="93"/>
      <c r="K360" s="93"/>
      <c r="L360" s="93"/>
    </row>
    <row r="361" spans="4:12" s="45" customFormat="1">
      <c r="D361"/>
      <c r="E361" s="93"/>
      <c r="G361" s="93"/>
      <c r="H361" s="66"/>
      <c r="I361" s="93"/>
      <c r="J361" s="93"/>
      <c r="K361" s="93"/>
      <c r="L361" s="93"/>
    </row>
    <row r="362" spans="4:12" s="45" customFormat="1">
      <c r="D362"/>
      <c r="E362" s="93"/>
      <c r="G362" s="93"/>
      <c r="H362" s="66"/>
      <c r="I362" s="93"/>
      <c r="J362" s="93"/>
      <c r="K362" s="93"/>
      <c r="L362" s="93"/>
    </row>
    <row r="363" spans="4:12" s="45" customFormat="1">
      <c r="D363"/>
      <c r="E363" s="93"/>
      <c r="G363" s="93"/>
      <c r="H363" s="66"/>
      <c r="I363" s="93"/>
      <c r="J363" s="93"/>
      <c r="K363" s="93"/>
      <c r="L363" s="93"/>
    </row>
    <row r="364" spans="4:12" s="45" customFormat="1">
      <c r="D364"/>
      <c r="E364" s="93"/>
      <c r="G364" s="93"/>
      <c r="H364" s="66"/>
      <c r="I364" s="93"/>
      <c r="J364" s="93"/>
      <c r="K364" s="93"/>
      <c r="L364" s="93"/>
    </row>
    <row r="365" spans="4:12" s="45" customFormat="1">
      <c r="D365"/>
      <c r="E365" s="93"/>
      <c r="G365" s="93"/>
      <c r="H365" s="66"/>
      <c r="I365" s="93"/>
      <c r="J365" s="93"/>
      <c r="K365" s="93"/>
      <c r="L365" s="93"/>
    </row>
    <row r="366" spans="4:12" s="45" customFormat="1">
      <c r="D366"/>
      <c r="E366" s="93"/>
      <c r="G366" s="93"/>
      <c r="H366" s="66"/>
      <c r="I366" s="93"/>
      <c r="J366" s="93"/>
      <c r="K366" s="93"/>
      <c r="L366" s="93"/>
    </row>
    <row r="367" spans="4:12" s="45" customFormat="1">
      <c r="D367"/>
      <c r="E367" s="93"/>
      <c r="G367" s="93"/>
      <c r="H367" s="66"/>
      <c r="I367" s="93"/>
      <c r="J367" s="93"/>
      <c r="K367" s="93"/>
      <c r="L367" s="93"/>
    </row>
    <row r="368" spans="4:12" s="45" customFormat="1">
      <c r="D368"/>
      <c r="E368" s="93"/>
      <c r="G368" s="93"/>
      <c r="H368" s="66"/>
      <c r="I368" s="93"/>
      <c r="J368" s="93"/>
      <c r="K368" s="93"/>
      <c r="L368" s="93"/>
    </row>
    <row r="369" spans="4:12" s="45" customFormat="1">
      <c r="D369"/>
      <c r="E369" s="93"/>
      <c r="G369" s="93"/>
      <c r="H369" s="66"/>
      <c r="I369" s="93"/>
      <c r="J369" s="93"/>
      <c r="K369" s="93"/>
      <c r="L369" s="93"/>
    </row>
    <row r="370" spans="4:12" s="45" customFormat="1">
      <c r="D370"/>
      <c r="E370" s="93"/>
      <c r="G370" s="93"/>
      <c r="H370" s="66"/>
      <c r="I370" s="93"/>
      <c r="J370" s="93"/>
      <c r="K370" s="93"/>
      <c r="L370" s="93"/>
    </row>
    <row r="371" spans="4:12" s="45" customFormat="1">
      <c r="D371"/>
      <c r="E371" s="93"/>
      <c r="G371" s="93"/>
      <c r="H371" s="66"/>
      <c r="I371" s="93"/>
      <c r="J371" s="93"/>
      <c r="K371" s="93"/>
      <c r="L371" s="93"/>
    </row>
    <row r="372" spans="4:12" s="45" customFormat="1">
      <c r="D372"/>
      <c r="E372" s="93"/>
      <c r="G372" s="93"/>
      <c r="H372" s="66"/>
      <c r="I372" s="93"/>
      <c r="J372" s="93"/>
      <c r="K372" s="93"/>
      <c r="L372" s="93"/>
    </row>
    <row r="373" spans="4:12" s="45" customFormat="1">
      <c r="D373"/>
      <c r="E373" s="93"/>
      <c r="G373" s="93"/>
      <c r="H373" s="66"/>
      <c r="I373" s="93"/>
      <c r="J373" s="93"/>
      <c r="K373" s="93"/>
      <c r="L373" s="93"/>
    </row>
    <row r="374" spans="4:12" s="45" customFormat="1">
      <c r="D374"/>
      <c r="E374" s="93"/>
      <c r="G374" s="93"/>
      <c r="H374" s="66"/>
      <c r="I374" s="93"/>
      <c r="J374" s="93"/>
      <c r="K374" s="93"/>
      <c r="L374" s="93"/>
    </row>
    <row r="375" spans="4:12" s="45" customFormat="1">
      <c r="D375"/>
      <c r="E375" s="93"/>
      <c r="G375" s="93"/>
      <c r="H375" s="66"/>
      <c r="I375" s="93"/>
      <c r="J375" s="93"/>
      <c r="K375" s="93"/>
      <c r="L375" s="93"/>
    </row>
    <row r="376" spans="4:12" s="45" customFormat="1">
      <c r="D376"/>
      <c r="E376" s="93"/>
      <c r="G376" s="93"/>
      <c r="H376" s="66"/>
      <c r="I376" s="93"/>
      <c r="J376" s="93"/>
      <c r="K376" s="93"/>
      <c r="L376" s="93"/>
    </row>
    <row r="377" spans="4:12" s="45" customFormat="1">
      <c r="D377"/>
      <c r="E377" s="93"/>
      <c r="G377" s="93"/>
      <c r="H377" s="66"/>
      <c r="I377" s="93"/>
      <c r="J377" s="93"/>
      <c r="K377" s="93"/>
      <c r="L377" s="93"/>
    </row>
    <row r="378" spans="4:12" s="45" customFormat="1">
      <c r="D378"/>
      <c r="E378" s="93"/>
      <c r="G378" s="93"/>
      <c r="H378" s="66"/>
      <c r="I378" s="93"/>
      <c r="J378" s="93"/>
      <c r="K378" s="93"/>
      <c r="L378" s="93"/>
    </row>
    <row r="379" spans="4:12" s="45" customFormat="1">
      <c r="D379"/>
      <c r="E379" s="93"/>
      <c r="G379" s="93"/>
      <c r="H379" s="66"/>
      <c r="I379" s="93"/>
      <c r="J379" s="93"/>
      <c r="K379" s="93"/>
      <c r="L379" s="93"/>
    </row>
    <row r="380" spans="4:12" s="45" customFormat="1">
      <c r="D380"/>
      <c r="E380" s="93"/>
      <c r="G380" s="93"/>
      <c r="H380" s="66"/>
      <c r="I380" s="93"/>
      <c r="J380" s="93"/>
      <c r="K380" s="93"/>
      <c r="L380" s="93"/>
    </row>
    <row r="381" spans="4:12" s="45" customFormat="1">
      <c r="D381"/>
      <c r="E381" s="93"/>
      <c r="G381" s="93"/>
      <c r="H381" s="66"/>
      <c r="I381" s="93"/>
      <c r="J381" s="93"/>
      <c r="K381" s="93"/>
      <c r="L381" s="93"/>
    </row>
    <row r="382" spans="4:12" s="45" customFormat="1">
      <c r="D382"/>
      <c r="E382" s="93"/>
      <c r="G382" s="93"/>
      <c r="H382" s="66"/>
      <c r="I382" s="93"/>
      <c r="J382" s="93"/>
      <c r="K382" s="93"/>
      <c r="L382" s="93"/>
    </row>
    <row r="383" spans="4:12" s="45" customFormat="1">
      <c r="D383"/>
      <c r="E383" s="93"/>
      <c r="G383" s="93"/>
      <c r="H383" s="66"/>
      <c r="I383" s="93"/>
      <c r="J383" s="93"/>
      <c r="K383" s="93"/>
      <c r="L383" s="93"/>
    </row>
    <row r="384" spans="4:12" s="45" customFormat="1">
      <c r="D384"/>
      <c r="E384" s="93"/>
      <c r="G384" s="93"/>
      <c r="H384" s="66"/>
      <c r="I384" s="93"/>
      <c r="J384" s="93"/>
      <c r="K384" s="93"/>
      <c r="L384" s="93"/>
    </row>
    <row r="385" spans="4:12" s="45" customFormat="1">
      <c r="D385"/>
      <c r="E385" s="93"/>
      <c r="G385" s="93"/>
      <c r="H385" s="66"/>
      <c r="I385" s="93"/>
      <c r="J385" s="93"/>
      <c r="K385" s="93"/>
      <c r="L385" s="93"/>
    </row>
    <row r="386" spans="4:12" s="45" customFormat="1">
      <c r="D386"/>
      <c r="E386" s="93"/>
      <c r="G386" s="93"/>
      <c r="H386" s="66"/>
      <c r="I386" s="93"/>
      <c r="J386" s="93"/>
      <c r="K386" s="93"/>
      <c r="L386" s="93"/>
    </row>
    <row r="387" spans="4:12" s="45" customFormat="1">
      <c r="D387"/>
      <c r="E387" s="93"/>
      <c r="G387" s="93"/>
      <c r="H387" s="66"/>
      <c r="I387" s="93"/>
      <c r="J387" s="93"/>
      <c r="K387" s="93"/>
      <c r="L387" s="93"/>
    </row>
    <row r="388" spans="4:12" s="45" customFormat="1">
      <c r="D388"/>
      <c r="E388" s="93"/>
      <c r="G388" s="93"/>
      <c r="H388" s="66"/>
      <c r="I388" s="93"/>
      <c r="J388" s="93"/>
      <c r="K388" s="93"/>
      <c r="L388" s="93"/>
    </row>
    <row r="389" spans="4:12" s="45" customFormat="1">
      <c r="D389"/>
      <c r="E389" s="93"/>
      <c r="G389" s="93"/>
      <c r="H389" s="66"/>
      <c r="I389" s="93"/>
      <c r="J389" s="93"/>
      <c r="K389" s="93"/>
      <c r="L389" s="93"/>
    </row>
    <row r="390" spans="4:12" s="45" customFormat="1">
      <c r="D390"/>
      <c r="E390" s="93"/>
      <c r="G390" s="93"/>
      <c r="H390" s="66"/>
      <c r="I390" s="93"/>
      <c r="J390" s="93"/>
      <c r="K390" s="93"/>
      <c r="L390" s="93"/>
    </row>
    <row r="391" spans="4:12" s="45" customFormat="1">
      <c r="D391"/>
      <c r="E391" s="93"/>
      <c r="G391" s="93"/>
      <c r="H391" s="66"/>
      <c r="I391" s="93"/>
      <c r="J391" s="93"/>
      <c r="K391" s="93"/>
      <c r="L391" s="93"/>
    </row>
    <row r="392" spans="4:12" s="45" customFormat="1">
      <c r="D392"/>
      <c r="E392" s="93"/>
      <c r="G392" s="93"/>
      <c r="H392" s="66"/>
      <c r="I392" s="93"/>
      <c r="J392" s="93"/>
      <c r="K392" s="93"/>
      <c r="L392" s="93"/>
    </row>
    <row r="393" spans="4:12" s="45" customFormat="1">
      <c r="D393"/>
      <c r="E393" s="93"/>
      <c r="G393" s="93"/>
      <c r="H393" s="66"/>
      <c r="I393" s="93"/>
      <c r="J393" s="93"/>
      <c r="K393" s="93"/>
      <c r="L393" s="93"/>
    </row>
    <row r="394" spans="4:12" s="45" customFormat="1">
      <c r="D394"/>
      <c r="E394" s="93"/>
      <c r="G394" s="93"/>
      <c r="H394" s="66"/>
      <c r="I394" s="93"/>
      <c r="J394" s="93"/>
      <c r="K394" s="93"/>
      <c r="L394" s="93"/>
    </row>
    <row r="395" spans="4:12" s="45" customFormat="1">
      <c r="D395"/>
      <c r="E395" s="93"/>
      <c r="G395" s="93"/>
      <c r="H395" s="66"/>
      <c r="I395" s="93"/>
      <c r="J395" s="93"/>
      <c r="K395" s="93"/>
      <c r="L395" s="93"/>
    </row>
    <row r="396" spans="4:12" s="45" customFormat="1">
      <c r="D396"/>
      <c r="E396" s="93"/>
      <c r="G396" s="93"/>
      <c r="H396" s="66"/>
      <c r="I396" s="93"/>
      <c r="J396" s="93"/>
      <c r="K396" s="93"/>
      <c r="L396" s="93"/>
    </row>
    <row r="397" spans="4:12" s="45" customFormat="1">
      <c r="D397"/>
      <c r="E397" s="93"/>
      <c r="G397" s="93"/>
      <c r="H397" s="66"/>
      <c r="I397" s="93"/>
      <c r="J397" s="93"/>
      <c r="K397" s="93"/>
      <c r="L397" s="93"/>
    </row>
    <row r="398" spans="4:12" s="45" customFormat="1">
      <c r="D398"/>
      <c r="E398" s="93"/>
      <c r="G398" s="93"/>
      <c r="H398" s="66"/>
      <c r="I398" s="93"/>
      <c r="J398" s="93"/>
      <c r="K398" s="93"/>
      <c r="L398" s="93"/>
    </row>
    <row r="399" spans="4:12" s="45" customFormat="1">
      <c r="D399"/>
      <c r="E399" s="93"/>
      <c r="G399" s="93"/>
      <c r="H399" s="66"/>
      <c r="I399" s="93"/>
      <c r="J399" s="93"/>
      <c r="K399" s="93"/>
      <c r="L399" s="93"/>
    </row>
    <row r="400" spans="4:12" s="45" customFormat="1">
      <c r="D400"/>
      <c r="E400" s="93"/>
      <c r="G400" s="93"/>
      <c r="H400" s="66"/>
      <c r="I400" s="93"/>
      <c r="J400" s="93"/>
      <c r="K400" s="93"/>
      <c r="L400" s="93"/>
    </row>
    <row r="401" spans="4:12" s="45" customFormat="1">
      <c r="D401"/>
      <c r="E401" s="93"/>
      <c r="G401" s="93"/>
      <c r="H401" s="66"/>
      <c r="I401" s="93"/>
      <c r="J401" s="93"/>
      <c r="K401" s="93"/>
      <c r="L401" s="93"/>
    </row>
    <row r="402" spans="4:12" s="45" customFormat="1">
      <c r="D402"/>
      <c r="E402" s="93"/>
      <c r="G402" s="93"/>
      <c r="H402" s="66"/>
      <c r="I402" s="93"/>
      <c r="J402" s="93"/>
      <c r="K402" s="93"/>
      <c r="L402" s="93"/>
    </row>
    <row r="403" spans="4:12" s="45" customFormat="1">
      <c r="D403"/>
      <c r="E403" s="93"/>
      <c r="G403" s="93"/>
      <c r="H403" s="66"/>
      <c r="I403" s="93"/>
      <c r="J403" s="93"/>
      <c r="K403" s="93"/>
      <c r="L403" s="93"/>
    </row>
    <row r="404" spans="4:12" s="45" customFormat="1">
      <c r="D404"/>
      <c r="E404" s="93"/>
      <c r="G404" s="93"/>
      <c r="H404" s="66"/>
      <c r="I404" s="93"/>
      <c r="J404" s="93"/>
      <c r="K404" s="93"/>
      <c r="L404" s="93"/>
    </row>
    <row r="405" spans="4:12" s="45" customFormat="1">
      <c r="D405"/>
      <c r="E405" s="93"/>
      <c r="G405" s="93"/>
      <c r="H405" s="66"/>
      <c r="I405" s="93"/>
      <c r="J405" s="93"/>
      <c r="K405" s="93"/>
      <c r="L405" s="93"/>
    </row>
    <row r="406" spans="4:12" s="45" customFormat="1">
      <c r="D406"/>
      <c r="E406" s="93"/>
      <c r="G406" s="93"/>
      <c r="H406" s="66"/>
      <c r="I406" s="93"/>
      <c r="J406" s="93"/>
      <c r="K406" s="93"/>
      <c r="L406" s="93"/>
    </row>
    <row r="407" spans="4:12" s="45" customFormat="1">
      <c r="D407"/>
      <c r="E407" s="93"/>
      <c r="G407" s="93"/>
      <c r="H407" s="66"/>
      <c r="I407" s="93"/>
      <c r="J407" s="93"/>
      <c r="K407" s="93"/>
      <c r="L407" s="93"/>
    </row>
    <row r="408" spans="4:12" s="45" customFormat="1">
      <c r="D408"/>
      <c r="E408" s="93"/>
      <c r="G408" s="93"/>
      <c r="H408" s="66"/>
      <c r="I408" s="93"/>
      <c r="J408" s="93"/>
      <c r="K408" s="93"/>
      <c r="L408" s="93"/>
    </row>
    <row r="409" spans="4:12" s="45" customFormat="1">
      <c r="D409"/>
      <c r="E409" s="93"/>
      <c r="G409" s="93"/>
      <c r="H409" s="66"/>
      <c r="I409" s="93"/>
      <c r="J409" s="93"/>
      <c r="K409" s="93"/>
      <c r="L409" s="93"/>
    </row>
    <row r="410" spans="4:12" s="45" customFormat="1">
      <c r="D410"/>
      <c r="E410" s="93"/>
      <c r="G410" s="93"/>
      <c r="H410" s="66"/>
      <c r="I410" s="93"/>
      <c r="J410" s="93"/>
      <c r="K410" s="93"/>
      <c r="L410" s="93"/>
    </row>
    <row r="411" spans="4:12" s="45" customFormat="1">
      <c r="D411"/>
      <c r="E411" s="93"/>
      <c r="G411" s="93"/>
      <c r="H411" s="66"/>
      <c r="I411" s="93"/>
      <c r="J411" s="93"/>
      <c r="K411" s="93"/>
      <c r="L411" s="93"/>
    </row>
    <row r="412" spans="4:12" s="45" customFormat="1">
      <c r="D412"/>
      <c r="E412" s="93"/>
      <c r="G412" s="93"/>
      <c r="H412" s="66"/>
      <c r="I412" s="93"/>
      <c r="J412" s="93"/>
      <c r="K412" s="93"/>
      <c r="L412" s="93"/>
    </row>
    <row r="413" spans="4:12" s="45" customFormat="1">
      <c r="D413"/>
      <c r="E413" s="93"/>
      <c r="G413" s="93"/>
      <c r="H413" s="66"/>
      <c r="I413" s="93"/>
      <c r="J413" s="93"/>
      <c r="K413" s="93"/>
      <c r="L413" s="93"/>
    </row>
    <row r="414" spans="4:12" s="45" customFormat="1">
      <c r="D414"/>
      <c r="E414" s="93"/>
      <c r="G414" s="93"/>
      <c r="H414" s="66"/>
      <c r="I414" s="93"/>
      <c r="J414" s="93"/>
      <c r="K414" s="93"/>
      <c r="L414" s="93"/>
    </row>
    <row r="415" spans="4:12" s="45" customFormat="1">
      <c r="D415"/>
      <c r="E415" s="93"/>
      <c r="G415" s="93"/>
      <c r="H415" s="66"/>
      <c r="I415" s="93"/>
      <c r="J415" s="93"/>
      <c r="K415" s="93"/>
      <c r="L415" s="93"/>
    </row>
    <row r="416" spans="4:12" s="45" customFormat="1">
      <c r="D416"/>
      <c r="E416" s="93"/>
      <c r="G416" s="93"/>
      <c r="H416" s="66"/>
      <c r="I416" s="93"/>
      <c r="J416" s="93"/>
      <c r="K416" s="93"/>
      <c r="L416" s="93"/>
    </row>
    <row r="417" spans="4:12" s="45" customFormat="1">
      <c r="D417"/>
      <c r="E417" s="93"/>
      <c r="G417" s="93"/>
      <c r="H417" s="66"/>
      <c r="I417" s="93"/>
      <c r="J417" s="93"/>
      <c r="K417" s="93"/>
      <c r="L417" s="93"/>
    </row>
    <row r="418" spans="4:12" s="45" customFormat="1">
      <c r="D418"/>
      <c r="E418" s="93"/>
      <c r="G418" s="93"/>
      <c r="H418" s="66"/>
      <c r="I418" s="93"/>
      <c r="J418" s="93"/>
      <c r="K418" s="93"/>
      <c r="L418" s="93"/>
    </row>
    <row r="419" spans="4:12" s="45" customFormat="1">
      <c r="D419"/>
      <c r="E419" s="93"/>
      <c r="G419" s="93"/>
      <c r="H419" s="66"/>
      <c r="I419" s="93"/>
      <c r="J419" s="93"/>
      <c r="K419" s="93"/>
      <c r="L419" s="93"/>
    </row>
    <row r="420" spans="4:12" s="45" customFormat="1">
      <c r="D420"/>
      <c r="E420" s="93"/>
      <c r="G420" s="93"/>
      <c r="H420" s="66"/>
      <c r="I420" s="93"/>
      <c r="J420" s="93"/>
      <c r="K420" s="93"/>
      <c r="L420" s="93"/>
    </row>
    <row r="421" spans="4:12" s="45" customFormat="1">
      <c r="D421"/>
      <c r="E421" s="93"/>
      <c r="G421" s="93"/>
      <c r="H421" s="66"/>
      <c r="I421" s="93"/>
      <c r="J421" s="93"/>
      <c r="K421" s="93"/>
      <c r="L421" s="93"/>
    </row>
    <row r="422" spans="4:12" s="45" customFormat="1">
      <c r="D422"/>
      <c r="E422" s="93"/>
      <c r="G422" s="93"/>
      <c r="H422" s="66"/>
      <c r="I422" s="93"/>
      <c r="J422" s="93"/>
      <c r="K422" s="93"/>
      <c r="L422" s="93"/>
    </row>
    <row r="423" spans="4:12" s="45" customFormat="1">
      <c r="D423"/>
      <c r="E423" s="93"/>
      <c r="G423" s="93"/>
      <c r="H423" s="66"/>
      <c r="I423" s="93"/>
      <c r="J423" s="93"/>
      <c r="K423" s="93"/>
      <c r="L423" s="93"/>
    </row>
    <row r="424" spans="4:12" s="45" customFormat="1">
      <c r="D424"/>
      <c r="E424" s="93"/>
      <c r="G424" s="93"/>
      <c r="H424" s="66"/>
      <c r="I424" s="93"/>
      <c r="J424" s="93"/>
      <c r="K424" s="93"/>
      <c r="L424" s="93"/>
    </row>
    <row r="425" spans="4:12" s="45" customFormat="1">
      <c r="D425"/>
      <c r="E425" s="93"/>
      <c r="G425" s="93"/>
      <c r="H425" s="66"/>
      <c r="I425" s="93"/>
      <c r="J425" s="93"/>
      <c r="K425" s="93"/>
      <c r="L425" s="93"/>
    </row>
    <row r="426" spans="4:12" s="45" customFormat="1">
      <c r="D426"/>
      <c r="E426" s="93"/>
      <c r="G426" s="93"/>
      <c r="H426" s="66"/>
      <c r="I426" s="93"/>
      <c r="J426" s="93"/>
      <c r="K426" s="93"/>
      <c r="L426" s="93"/>
    </row>
    <row r="427" spans="4:12" s="45" customFormat="1">
      <c r="D427"/>
      <c r="E427" s="93"/>
      <c r="G427" s="93"/>
      <c r="H427" s="66"/>
      <c r="I427" s="93"/>
      <c r="J427" s="93"/>
      <c r="K427" s="93"/>
      <c r="L427" s="93"/>
    </row>
    <row r="428" spans="4:12" s="45" customFormat="1">
      <c r="D428"/>
      <c r="E428" s="93"/>
      <c r="G428" s="93"/>
      <c r="H428" s="66"/>
      <c r="I428" s="93"/>
      <c r="J428" s="93"/>
      <c r="K428" s="93"/>
      <c r="L428" s="93"/>
    </row>
    <row r="429" spans="4:12" s="45" customFormat="1">
      <c r="D429"/>
      <c r="E429" s="93"/>
      <c r="G429" s="93"/>
      <c r="H429" s="66"/>
      <c r="I429" s="93"/>
      <c r="J429" s="93"/>
      <c r="K429" s="93"/>
      <c r="L429" s="93"/>
    </row>
    <row r="430" spans="4:12" s="45" customFormat="1">
      <c r="D430"/>
      <c r="E430" s="93"/>
      <c r="G430" s="93"/>
      <c r="H430" s="66"/>
      <c r="I430" s="93"/>
      <c r="J430" s="93"/>
      <c r="K430" s="93"/>
      <c r="L430" s="93"/>
    </row>
    <row r="431" spans="4:12" s="45" customFormat="1">
      <c r="D431"/>
      <c r="E431" s="93"/>
      <c r="G431" s="93"/>
      <c r="H431" s="66"/>
      <c r="I431" s="93"/>
      <c r="J431" s="93"/>
      <c r="K431" s="93"/>
      <c r="L431" s="93"/>
    </row>
    <row r="432" spans="4:12" s="45" customFormat="1">
      <c r="D432"/>
      <c r="E432" s="93"/>
      <c r="G432" s="93"/>
      <c r="H432" s="66"/>
      <c r="I432" s="93"/>
      <c r="J432" s="93"/>
      <c r="K432" s="93"/>
      <c r="L432" s="93"/>
    </row>
    <row r="433" spans="4:12" s="45" customFormat="1">
      <c r="D433"/>
      <c r="E433" s="93"/>
      <c r="G433" s="93"/>
      <c r="H433" s="66"/>
      <c r="I433" s="93"/>
      <c r="J433" s="93"/>
      <c r="K433" s="93"/>
      <c r="L433" s="93"/>
    </row>
    <row r="434" spans="4:12" s="45" customFormat="1">
      <c r="D434"/>
      <c r="E434" s="93"/>
      <c r="G434" s="93"/>
      <c r="H434" s="66"/>
      <c r="I434" s="93"/>
      <c r="J434" s="93"/>
      <c r="K434" s="93"/>
      <c r="L434" s="93"/>
    </row>
    <row r="435" spans="4:12" s="45" customFormat="1">
      <c r="D435"/>
      <c r="E435" s="93"/>
      <c r="G435" s="93"/>
      <c r="H435" s="66"/>
      <c r="I435" s="93"/>
      <c r="J435" s="93"/>
      <c r="K435" s="93"/>
      <c r="L435" s="93"/>
    </row>
    <row r="436" spans="4:12" s="45" customFormat="1">
      <c r="D436"/>
      <c r="E436" s="93"/>
      <c r="G436" s="93"/>
      <c r="H436" s="66"/>
      <c r="I436" s="93"/>
      <c r="J436" s="93"/>
      <c r="K436" s="93"/>
      <c r="L436" s="93"/>
    </row>
    <row r="437" spans="4:12" s="45" customFormat="1">
      <c r="D437"/>
      <c r="E437" s="93"/>
      <c r="G437" s="93"/>
      <c r="H437" s="66"/>
      <c r="I437" s="93"/>
      <c r="J437" s="93"/>
      <c r="K437" s="93"/>
      <c r="L437" s="93"/>
    </row>
    <row r="438" spans="4:12" s="45" customFormat="1">
      <c r="D438"/>
      <c r="E438" s="93"/>
      <c r="G438" s="93"/>
      <c r="H438" s="66"/>
      <c r="I438" s="93"/>
      <c r="J438" s="93"/>
      <c r="K438" s="93"/>
      <c r="L438" s="93"/>
    </row>
    <row r="439" spans="4:12" s="45" customFormat="1">
      <c r="D439"/>
      <c r="E439" s="93"/>
      <c r="G439" s="93"/>
      <c r="H439" s="66"/>
      <c r="I439" s="93"/>
      <c r="J439" s="93"/>
      <c r="K439" s="93"/>
      <c r="L439" s="93"/>
    </row>
    <row r="440" spans="4:12" s="45" customFormat="1">
      <c r="D440"/>
      <c r="E440" s="93"/>
      <c r="G440" s="93"/>
      <c r="H440" s="66"/>
      <c r="I440" s="93"/>
      <c r="J440" s="93"/>
      <c r="K440" s="93"/>
      <c r="L440" s="93"/>
    </row>
    <row r="441" spans="4:12" s="45" customFormat="1">
      <c r="D441"/>
      <c r="E441" s="93"/>
      <c r="G441" s="93"/>
      <c r="H441" s="66"/>
      <c r="I441" s="93"/>
      <c r="J441" s="93"/>
      <c r="K441" s="93"/>
      <c r="L441" s="93"/>
    </row>
    <row r="442" spans="4:12" s="45" customFormat="1">
      <c r="D442"/>
      <c r="E442" s="93"/>
      <c r="G442" s="93"/>
      <c r="H442" s="66"/>
      <c r="I442" s="93"/>
      <c r="J442" s="93"/>
      <c r="K442" s="93"/>
      <c r="L442" s="93"/>
    </row>
    <row r="443" spans="4:12" s="45" customFormat="1">
      <c r="D443"/>
      <c r="E443" s="93"/>
      <c r="G443" s="93"/>
      <c r="H443" s="66"/>
      <c r="I443" s="93"/>
      <c r="J443" s="93"/>
      <c r="K443" s="93"/>
      <c r="L443" s="93"/>
    </row>
    <row r="444" spans="4:12" s="45" customFormat="1">
      <c r="D444"/>
      <c r="E444" s="93"/>
      <c r="G444" s="93"/>
      <c r="H444" s="66"/>
      <c r="I444" s="93"/>
      <c r="J444" s="93"/>
      <c r="K444" s="93"/>
      <c r="L444" s="93"/>
    </row>
    <row r="445" spans="4:12" s="45" customFormat="1">
      <c r="D445"/>
      <c r="E445" s="93"/>
      <c r="G445" s="93"/>
      <c r="H445" s="66"/>
      <c r="I445" s="93"/>
      <c r="J445" s="93"/>
      <c r="K445" s="93"/>
      <c r="L445" s="93"/>
    </row>
    <row r="446" spans="4:12" s="45" customFormat="1">
      <c r="D446"/>
      <c r="E446" s="93"/>
      <c r="G446" s="93"/>
      <c r="H446" s="66"/>
      <c r="I446" s="93"/>
      <c r="J446" s="93"/>
      <c r="K446" s="93"/>
      <c r="L446" s="93"/>
    </row>
    <row r="447" spans="4:12" s="45" customFormat="1">
      <c r="D447"/>
      <c r="E447" s="93"/>
      <c r="G447" s="93"/>
      <c r="H447" s="66"/>
      <c r="I447" s="93"/>
      <c r="J447" s="93"/>
      <c r="K447" s="93"/>
      <c r="L447" s="93"/>
    </row>
    <row r="448" spans="4:12" s="45" customFormat="1">
      <c r="D448"/>
      <c r="E448" s="93"/>
      <c r="G448" s="93"/>
      <c r="H448" s="66"/>
      <c r="I448" s="93"/>
      <c r="J448" s="93"/>
      <c r="K448" s="93"/>
      <c r="L448" s="93"/>
    </row>
    <row r="449" spans="4:12" s="45" customFormat="1">
      <c r="D449"/>
      <c r="E449" s="93"/>
      <c r="G449" s="93"/>
      <c r="H449" s="66"/>
      <c r="I449" s="93"/>
      <c r="J449" s="93"/>
      <c r="K449" s="93"/>
      <c r="L449" s="93"/>
    </row>
    <row r="450" spans="4:12" s="45" customFormat="1">
      <c r="D450"/>
      <c r="E450" s="93"/>
      <c r="G450" s="93"/>
      <c r="H450" s="66"/>
      <c r="I450" s="93"/>
      <c r="J450" s="93"/>
      <c r="K450" s="93"/>
      <c r="L450" s="93"/>
    </row>
    <row r="451" spans="4:12" s="45" customFormat="1">
      <c r="D451"/>
      <c r="E451" s="93"/>
      <c r="G451" s="93"/>
      <c r="H451" s="66"/>
      <c r="I451" s="93"/>
      <c r="J451" s="93"/>
      <c r="K451" s="93"/>
      <c r="L451" s="93"/>
    </row>
    <row r="452" spans="4:12" s="45" customFormat="1">
      <c r="D452"/>
      <c r="E452" s="93"/>
      <c r="G452" s="93"/>
      <c r="H452" s="66"/>
      <c r="I452" s="93"/>
      <c r="J452" s="93"/>
      <c r="K452" s="93"/>
      <c r="L452" s="93"/>
    </row>
    <row r="453" spans="4:12" s="45" customFormat="1">
      <c r="D453"/>
      <c r="E453" s="93"/>
      <c r="G453" s="93"/>
      <c r="H453" s="66"/>
      <c r="I453" s="93"/>
      <c r="J453" s="93"/>
      <c r="K453" s="93"/>
      <c r="L453" s="93"/>
    </row>
    <row r="454" spans="4:12" s="45" customFormat="1">
      <c r="D454"/>
      <c r="E454" s="93"/>
      <c r="G454" s="93"/>
      <c r="H454" s="66"/>
      <c r="I454" s="93"/>
      <c r="J454" s="93"/>
      <c r="K454" s="93"/>
      <c r="L454" s="93"/>
    </row>
    <row r="455" spans="4:12" s="45" customFormat="1">
      <c r="D455"/>
      <c r="E455" s="93"/>
      <c r="G455" s="93"/>
      <c r="H455" s="66"/>
      <c r="I455" s="93"/>
      <c r="J455" s="93"/>
      <c r="K455" s="93"/>
      <c r="L455" s="93"/>
    </row>
    <row r="456" spans="4:12" s="45" customFormat="1">
      <c r="D456"/>
      <c r="E456" s="93"/>
      <c r="G456" s="93"/>
      <c r="H456" s="66"/>
      <c r="I456" s="93"/>
      <c r="J456" s="93"/>
      <c r="K456" s="93"/>
      <c r="L456" s="93"/>
    </row>
    <row r="457" spans="4:12" s="45" customFormat="1">
      <c r="D457"/>
      <c r="E457" s="93"/>
      <c r="G457" s="93"/>
      <c r="H457" s="66"/>
      <c r="I457" s="93"/>
      <c r="J457" s="93"/>
      <c r="K457" s="93"/>
      <c r="L457" s="93"/>
    </row>
    <row r="458" spans="4:12" s="45" customFormat="1">
      <c r="D458"/>
      <c r="E458" s="93"/>
      <c r="G458" s="93"/>
      <c r="H458" s="66"/>
      <c r="I458" s="93"/>
      <c r="J458" s="93"/>
      <c r="K458" s="93"/>
      <c r="L458" s="93"/>
    </row>
    <row r="459" spans="4:12" s="45" customFormat="1">
      <c r="D459"/>
      <c r="E459" s="93"/>
      <c r="G459" s="93"/>
      <c r="H459" s="66"/>
      <c r="I459" s="93"/>
      <c r="J459" s="93"/>
      <c r="K459" s="93"/>
      <c r="L459" s="93"/>
    </row>
    <row r="460" spans="4:12" s="45" customFormat="1">
      <c r="D460"/>
      <c r="E460" s="93"/>
      <c r="G460" s="93"/>
      <c r="H460" s="66"/>
      <c r="I460" s="93"/>
      <c r="J460" s="93"/>
      <c r="K460" s="93"/>
      <c r="L460" s="93"/>
    </row>
    <row r="461" spans="4:12" s="45" customFormat="1">
      <c r="D461"/>
      <c r="E461" s="93"/>
      <c r="G461" s="93"/>
      <c r="H461" s="66"/>
      <c r="I461" s="93"/>
      <c r="J461" s="93"/>
      <c r="K461" s="93"/>
      <c r="L461" s="93"/>
    </row>
    <row r="462" spans="4:12" s="45" customFormat="1">
      <c r="D462"/>
      <c r="E462" s="93"/>
      <c r="G462" s="93"/>
      <c r="H462" s="66"/>
      <c r="I462" s="93"/>
      <c r="J462" s="93"/>
      <c r="K462" s="93"/>
      <c r="L462" s="93"/>
    </row>
    <row r="463" spans="4:12" s="45" customFormat="1">
      <c r="D463"/>
      <c r="E463" s="93"/>
      <c r="G463" s="93"/>
      <c r="H463" s="66"/>
      <c r="I463" s="93"/>
      <c r="J463" s="93"/>
      <c r="K463" s="93"/>
      <c r="L463" s="93"/>
    </row>
    <row r="464" spans="4:12" s="45" customFormat="1">
      <c r="D464"/>
      <c r="E464" s="93"/>
      <c r="G464" s="93"/>
      <c r="H464" s="66"/>
      <c r="I464" s="93"/>
      <c r="J464" s="93"/>
      <c r="K464" s="93"/>
      <c r="L464" s="93"/>
    </row>
    <row r="465" spans="4:12" s="45" customFormat="1">
      <c r="D465"/>
      <c r="E465" s="93"/>
      <c r="G465" s="93"/>
      <c r="H465" s="66"/>
      <c r="I465" s="93"/>
      <c r="J465" s="93"/>
      <c r="K465" s="93"/>
      <c r="L465" s="93"/>
    </row>
    <row r="466" spans="4:12" s="45" customFormat="1">
      <c r="D466"/>
      <c r="E466" s="93"/>
      <c r="G466" s="93"/>
      <c r="H466" s="66"/>
      <c r="I466" s="93"/>
      <c r="J466" s="93"/>
      <c r="K466" s="93"/>
      <c r="L466" s="93"/>
    </row>
    <row r="467" spans="4:12" s="45" customFormat="1">
      <c r="D467"/>
      <c r="E467" s="93"/>
      <c r="G467" s="93"/>
      <c r="H467" s="66"/>
      <c r="I467" s="93"/>
      <c r="J467" s="93"/>
      <c r="K467" s="93"/>
      <c r="L467" s="93"/>
    </row>
    <row r="468" spans="4:12" s="45" customFormat="1">
      <c r="D468"/>
      <c r="E468" s="93"/>
      <c r="G468" s="93"/>
      <c r="H468" s="66"/>
      <c r="I468" s="93"/>
      <c r="J468" s="93"/>
      <c r="K468" s="93"/>
      <c r="L468" s="93"/>
    </row>
    <row r="469" spans="4:12" s="45" customFormat="1">
      <c r="D469"/>
      <c r="E469" s="93"/>
      <c r="G469" s="93"/>
      <c r="H469" s="66"/>
      <c r="I469" s="93"/>
      <c r="J469" s="93"/>
      <c r="K469" s="93"/>
      <c r="L469" s="93"/>
    </row>
    <row r="470" spans="4:12" s="45" customFormat="1">
      <c r="D470"/>
      <c r="E470" s="93"/>
      <c r="G470" s="93"/>
      <c r="H470" s="66"/>
      <c r="I470" s="93"/>
      <c r="J470" s="93"/>
      <c r="K470" s="93"/>
      <c r="L470" s="93"/>
    </row>
    <row r="471" spans="4:12" s="45" customFormat="1">
      <c r="D471"/>
      <c r="E471" s="93"/>
      <c r="G471" s="93"/>
      <c r="H471" s="66"/>
      <c r="I471" s="93"/>
      <c r="J471" s="93"/>
      <c r="K471" s="93"/>
      <c r="L471" s="93"/>
    </row>
    <row r="472" spans="4:12" s="45" customFormat="1">
      <c r="D472"/>
      <c r="E472" s="93"/>
      <c r="G472" s="93"/>
      <c r="H472" s="66"/>
      <c r="I472" s="93"/>
      <c r="J472" s="93"/>
      <c r="K472" s="93"/>
      <c r="L472" s="93"/>
    </row>
    <row r="473" spans="4:12" s="45" customFormat="1">
      <c r="D473"/>
      <c r="E473" s="93"/>
      <c r="G473" s="93"/>
      <c r="H473" s="66"/>
      <c r="I473" s="93"/>
      <c r="J473" s="93"/>
      <c r="K473" s="93"/>
      <c r="L473" s="93"/>
    </row>
    <row r="474" spans="4:12" s="45" customFormat="1">
      <c r="D474"/>
      <c r="E474" s="93"/>
      <c r="G474" s="93"/>
      <c r="H474" s="66"/>
      <c r="I474" s="93"/>
      <c r="J474" s="93"/>
      <c r="K474" s="93"/>
      <c r="L474" s="93"/>
    </row>
    <row r="475" spans="4:12" s="45" customFormat="1">
      <c r="D475"/>
      <c r="E475" s="93"/>
      <c r="G475" s="93"/>
      <c r="H475" s="66"/>
      <c r="I475" s="93"/>
      <c r="J475" s="93"/>
      <c r="K475" s="93"/>
      <c r="L475" s="93"/>
    </row>
    <row r="476" spans="4:12" s="45" customFormat="1">
      <c r="D476"/>
      <c r="E476" s="93"/>
      <c r="G476" s="93"/>
      <c r="H476" s="66"/>
      <c r="I476" s="93"/>
      <c r="J476" s="93"/>
      <c r="K476" s="93"/>
      <c r="L476" s="93"/>
    </row>
    <row r="477" spans="4:12" s="45" customFormat="1">
      <c r="D477"/>
      <c r="E477" s="93"/>
      <c r="G477" s="93"/>
      <c r="H477" s="66"/>
      <c r="I477" s="93"/>
      <c r="J477" s="93"/>
      <c r="K477" s="93"/>
      <c r="L477" s="93"/>
    </row>
    <row r="478" spans="4:12" s="45" customFormat="1">
      <c r="D478"/>
      <c r="E478" s="93"/>
      <c r="G478" s="93"/>
      <c r="H478" s="66"/>
      <c r="I478" s="93"/>
      <c r="J478" s="93"/>
      <c r="K478" s="93"/>
      <c r="L478" s="93"/>
    </row>
    <row r="479" spans="4:12" s="45" customFormat="1">
      <c r="D479"/>
      <c r="E479" s="93"/>
      <c r="G479" s="93"/>
      <c r="H479" s="66"/>
      <c r="I479" s="93"/>
      <c r="J479" s="93"/>
      <c r="K479" s="93"/>
      <c r="L479" s="93"/>
    </row>
    <row r="480" spans="4:12" s="45" customFormat="1">
      <c r="D480"/>
      <c r="E480" s="93"/>
      <c r="G480" s="93"/>
      <c r="H480" s="66"/>
      <c r="I480" s="93"/>
      <c r="J480" s="93"/>
      <c r="K480" s="93"/>
      <c r="L480" s="93"/>
    </row>
    <row r="481" spans="4:12" s="45" customFormat="1">
      <c r="D481"/>
      <c r="E481" s="93"/>
      <c r="G481" s="93"/>
      <c r="H481" s="66"/>
      <c r="I481" s="93"/>
      <c r="J481" s="93"/>
      <c r="K481" s="93"/>
      <c r="L481" s="93"/>
    </row>
    <row r="482" spans="4:12" s="45" customFormat="1">
      <c r="D482"/>
      <c r="E482" s="93"/>
      <c r="G482" s="93"/>
      <c r="H482" s="66"/>
      <c r="I482" s="93"/>
      <c r="J482" s="93"/>
      <c r="K482" s="93"/>
      <c r="L482" s="93"/>
    </row>
    <row r="483" spans="4:12" s="45" customFormat="1">
      <c r="D483"/>
      <c r="E483" s="93"/>
      <c r="G483" s="93"/>
      <c r="H483" s="66"/>
      <c r="I483" s="93"/>
      <c r="J483" s="93"/>
      <c r="K483" s="93"/>
      <c r="L483" s="93"/>
    </row>
    <row r="484" spans="4:12" s="45" customFormat="1">
      <c r="D484"/>
      <c r="E484" s="93"/>
      <c r="G484" s="93"/>
      <c r="H484" s="66"/>
      <c r="I484" s="93"/>
      <c r="J484" s="93"/>
      <c r="K484" s="93"/>
      <c r="L484" s="93"/>
    </row>
    <row r="485" spans="4:12" s="45" customFormat="1">
      <c r="D485"/>
      <c r="E485" s="93"/>
      <c r="G485" s="93"/>
      <c r="H485" s="66"/>
      <c r="I485" s="93"/>
      <c r="J485" s="93"/>
      <c r="K485" s="93"/>
      <c r="L485" s="93"/>
    </row>
    <row r="486" spans="4:12" s="45" customFormat="1">
      <c r="D486"/>
      <c r="E486" s="93"/>
      <c r="G486" s="93"/>
      <c r="H486" s="66"/>
      <c r="I486" s="93"/>
      <c r="J486" s="93"/>
      <c r="K486" s="93"/>
      <c r="L486" s="93"/>
    </row>
    <row r="487" spans="4:12" s="45" customFormat="1">
      <c r="D487"/>
      <c r="E487" s="93"/>
      <c r="G487" s="93"/>
      <c r="H487" s="66"/>
      <c r="I487" s="93"/>
      <c r="J487" s="93"/>
      <c r="K487" s="93"/>
      <c r="L487" s="93"/>
    </row>
    <row r="488" spans="4:12" s="45" customFormat="1">
      <c r="D488"/>
      <c r="E488" s="93"/>
      <c r="G488" s="93"/>
      <c r="H488" s="66"/>
      <c r="I488" s="93"/>
      <c r="J488" s="93"/>
      <c r="K488" s="93"/>
      <c r="L488" s="93"/>
    </row>
    <row r="489" spans="4:12" s="45" customFormat="1">
      <c r="D489"/>
      <c r="E489" s="93"/>
      <c r="G489" s="93"/>
      <c r="H489" s="66"/>
      <c r="I489" s="93"/>
      <c r="J489" s="93"/>
      <c r="K489" s="93"/>
      <c r="L489" s="93"/>
    </row>
    <row r="490" spans="4:12" s="45" customFormat="1">
      <c r="D490"/>
      <c r="E490" s="93"/>
      <c r="G490" s="93"/>
      <c r="H490" s="66"/>
      <c r="I490" s="93"/>
      <c r="J490" s="93"/>
      <c r="K490" s="93"/>
      <c r="L490" s="93"/>
    </row>
    <row r="491" spans="4:12" s="45" customFormat="1">
      <c r="D491"/>
      <c r="E491" s="93"/>
      <c r="G491" s="93"/>
      <c r="H491" s="66"/>
      <c r="I491" s="93"/>
      <c r="J491" s="93"/>
      <c r="K491" s="93"/>
      <c r="L491" s="93"/>
    </row>
    <row r="492" spans="4:12" s="45" customFormat="1">
      <c r="D492"/>
      <c r="E492" s="93"/>
      <c r="G492" s="93"/>
      <c r="H492" s="66"/>
      <c r="I492" s="93"/>
      <c r="J492" s="93"/>
      <c r="K492" s="93"/>
      <c r="L492" s="93"/>
    </row>
    <row r="493" spans="4:12" s="45" customFormat="1">
      <c r="D493"/>
      <c r="E493" s="93"/>
      <c r="G493" s="93"/>
      <c r="H493" s="66"/>
      <c r="I493" s="93"/>
      <c r="J493" s="93"/>
      <c r="K493" s="93"/>
      <c r="L493" s="93"/>
    </row>
    <row r="494" spans="4:12" s="45" customFormat="1">
      <c r="D494"/>
      <c r="E494" s="93"/>
      <c r="G494" s="93"/>
      <c r="H494" s="66"/>
      <c r="I494" s="93"/>
      <c r="J494" s="93"/>
      <c r="K494" s="93"/>
      <c r="L494" s="93"/>
    </row>
    <row r="495" spans="4:12" s="45" customFormat="1">
      <c r="D495"/>
      <c r="E495" s="93"/>
      <c r="G495" s="93"/>
      <c r="H495" s="66"/>
      <c r="I495" s="93"/>
      <c r="J495" s="93"/>
      <c r="K495" s="93"/>
      <c r="L495" s="93"/>
    </row>
    <row r="496" spans="4:12" s="45" customFormat="1">
      <c r="D496"/>
      <c r="E496" s="93"/>
      <c r="G496" s="93"/>
      <c r="H496" s="66"/>
      <c r="I496" s="93"/>
      <c r="J496" s="93"/>
      <c r="K496" s="93"/>
      <c r="L496" s="93"/>
    </row>
    <row r="497" spans="4:12" s="45" customFormat="1">
      <c r="D497"/>
      <c r="E497" s="93"/>
      <c r="G497" s="93"/>
      <c r="H497" s="66"/>
      <c r="I497" s="93"/>
      <c r="J497" s="93"/>
      <c r="K497" s="93"/>
      <c r="L497" s="93"/>
    </row>
    <row r="498" spans="4:12" s="45" customFormat="1">
      <c r="D498"/>
      <c r="E498" s="93"/>
      <c r="G498" s="93"/>
      <c r="H498" s="66"/>
      <c r="I498" s="93"/>
      <c r="J498" s="93"/>
      <c r="K498" s="93"/>
      <c r="L498" s="93"/>
    </row>
    <row r="499" spans="4:12" s="45" customFormat="1">
      <c r="D499"/>
      <c r="E499" s="93"/>
      <c r="G499" s="93"/>
      <c r="H499" s="66"/>
      <c r="I499" s="93"/>
      <c r="J499" s="93"/>
      <c r="K499" s="93"/>
      <c r="L499" s="93"/>
    </row>
    <row r="500" spans="4:12" s="45" customFormat="1">
      <c r="D500"/>
      <c r="E500" s="93"/>
      <c r="G500" s="93"/>
      <c r="H500" s="66"/>
      <c r="I500" s="93"/>
      <c r="J500" s="93"/>
      <c r="K500" s="93"/>
      <c r="L500" s="93"/>
    </row>
    <row r="501" spans="4:12" s="45" customFormat="1">
      <c r="D501"/>
      <c r="E501" s="93"/>
      <c r="G501" s="93"/>
      <c r="H501" s="66"/>
      <c r="I501" s="93"/>
      <c r="J501" s="93"/>
      <c r="K501" s="93"/>
      <c r="L501" s="93"/>
    </row>
    <row r="502" spans="4:12" s="45" customFormat="1">
      <c r="D502"/>
      <c r="E502" s="93"/>
      <c r="G502" s="93"/>
      <c r="H502" s="66"/>
      <c r="I502" s="93"/>
      <c r="J502" s="93"/>
      <c r="K502" s="93"/>
      <c r="L502" s="93"/>
    </row>
    <row r="503" spans="4:12" s="45" customFormat="1">
      <c r="D503"/>
      <c r="E503" s="93"/>
      <c r="G503" s="93"/>
      <c r="H503" s="66"/>
      <c r="I503" s="93"/>
      <c r="J503" s="93"/>
      <c r="K503" s="93"/>
      <c r="L503" s="93"/>
    </row>
    <row r="504" spans="4:12" s="45" customFormat="1">
      <c r="D504"/>
      <c r="E504" s="93"/>
      <c r="G504" s="93"/>
      <c r="H504" s="66"/>
      <c r="I504" s="93"/>
      <c r="J504" s="93"/>
      <c r="K504" s="93"/>
      <c r="L504" s="93"/>
    </row>
    <row r="505" spans="4:12" s="45" customFormat="1">
      <c r="D505"/>
      <c r="E505" s="93"/>
      <c r="G505" s="93"/>
      <c r="H505" s="66"/>
      <c r="I505" s="93"/>
      <c r="J505" s="93"/>
      <c r="K505" s="93"/>
      <c r="L505" s="93"/>
    </row>
    <row r="506" spans="4:12" s="45" customFormat="1">
      <c r="D506"/>
      <c r="E506" s="93"/>
      <c r="G506" s="93"/>
      <c r="H506" s="66"/>
      <c r="I506" s="93"/>
      <c r="J506" s="93"/>
      <c r="K506" s="93"/>
      <c r="L506" s="93"/>
    </row>
    <row r="507" spans="4:12" s="45" customFormat="1">
      <c r="D507"/>
      <c r="E507" s="93"/>
      <c r="G507" s="93"/>
      <c r="H507" s="66"/>
      <c r="I507" s="93"/>
      <c r="J507" s="93"/>
      <c r="K507" s="93"/>
      <c r="L507" s="93"/>
    </row>
    <row r="508" spans="4:12" s="45" customFormat="1">
      <c r="D508"/>
      <c r="E508" s="93"/>
      <c r="G508" s="93"/>
      <c r="H508" s="66"/>
      <c r="I508" s="93"/>
      <c r="J508" s="93"/>
      <c r="K508" s="93"/>
      <c r="L508" s="93"/>
    </row>
    <row r="509" spans="4:12" s="45" customFormat="1">
      <c r="D509"/>
      <c r="E509" s="93"/>
      <c r="G509" s="93"/>
      <c r="H509" s="66"/>
      <c r="I509" s="93"/>
      <c r="J509" s="93"/>
      <c r="K509" s="93"/>
      <c r="L509" s="93"/>
    </row>
    <row r="510" spans="4:12" s="45" customFormat="1">
      <c r="D510"/>
      <c r="E510" s="93"/>
      <c r="G510" s="93"/>
      <c r="H510" s="66"/>
      <c r="I510" s="93"/>
      <c r="J510" s="93"/>
      <c r="K510" s="93"/>
      <c r="L510" s="93"/>
    </row>
    <row r="511" spans="4:12" s="45" customFormat="1">
      <c r="D511"/>
      <c r="E511" s="93"/>
      <c r="G511" s="93"/>
      <c r="H511" s="66"/>
      <c r="I511" s="93"/>
      <c r="J511" s="93"/>
      <c r="K511" s="93"/>
      <c r="L511" s="93"/>
    </row>
    <row r="512" spans="4:12" s="45" customFormat="1">
      <c r="D512"/>
      <c r="E512" s="93"/>
      <c r="G512" s="93"/>
      <c r="H512" s="66"/>
      <c r="I512" s="93"/>
      <c r="J512" s="93"/>
      <c r="K512" s="93"/>
      <c r="L512" s="93"/>
    </row>
    <row r="513" spans="4:12" s="45" customFormat="1">
      <c r="D513"/>
      <c r="E513" s="93"/>
      <c r="G513" s="93"/>
      <c r="H513" s="66"/>
      <c r="I513" s="93"/>
      <c r="J513" s="93"/>
      <c r="K513" s="93"/>
      <c r="L513" s="93"/>
    </row>
    <row r="514" spans="4:12" s="45" customFormat="1">
      <c r="D514"/>
      <c r="E514" s="93"/>
      <c r="G514" s="93"/>
      <c r="H514" s="66"/>
      <c r="I514" s="93"/>
      <c r="J514" s="93"/>
      <c r="K514" s="93"/>
      <c r="L514" s="93"/>
    </row>
    <row r="515" spans="4:12" s="45" customFormat="1">
      <c r="D515"/>
      <c r="E515" s="93"/>
      <c r="G515" s="93"/>
      <c r="H515" s="66"/>
      <c r="I515" s="93"/>
      <c r="J515" s="93"/>
      <c r="K515" s="93"/>
      <c r="L515" s="93"/>
    </row>
    <row r="516" spans="4:12" s="45" customFormat="1">
      <c r="D516"/>
      <c r="E516" s="93"/>
      <c r="G516" s="93"/>
      <c r="H516" s="66"/>
      <c r="I516" s="93"/>
      <c r="J516" s="93"/>
      <c r="K516" s="93"/>
      <c r="L516" s="93"/>
    </row>
    <row r="517" spans="4:12" s="45" customFormat="1">
      <c r="D517"/>
      <c r="E517" s="93"/>
      <c r="G517" s="93"/>
      <c r="H517" s="66"/>
      <c r="I517" s="93"/>
      <c r="J517" s="93"/>
      <c r="K517" s="93"/>
      <c r="L517" s="93"/>
    </row>
    <row r="518" spans="4:12" s="45" customFormat="1">
      <c r="D518"/>
      <c r="E518" s="93"/>
      <c r="G518" s="93"/>
      <c r="H518" s="66"/>
      <c r="I518" s="93"/>
      <c r="J518" s="93"/>
      <c r="K518" s="93"/>
      <c r="L518" s="93"/>
    </row>
    <row r="519" spans="4:12" s="45" customFormat="1">
      <c r="D519"/>
      <c r="E519" s="93"/>
      <c r="G519" s="93"/>
      <c r="H519" s="66"/>
      <c r="I519" s="93"/>
      <c r="J519" s="93"/>
      <c r="K519" s="93"/>
      <c r="L519" s="93"/>
    </row>
    <row r="520" spans="4:12" s="45" customFormat="1">
      <c r="D520"/>
      <c r="E520" s="93"/>
      <c r="G520" s="93"/>
      <c r="H520" s="66"/>
      <c r="I520" s="93"/>
      <c r="J520" s="93"/>
      <c r="K520" s="93"/>
      <c r="L520" s="93"/>
    </row>
    <row r="521" spans="4:12" s="45" customFormat="1">
      <c r="D521"/>
      <c r="E521" s="93"/>
      <c r="G521" s="93"/>
      <c r="H521" s="66"/>
      <c r="I521" s="93"/>
      <c r="J521" s="93"/>
      <c r="K521" s="93"/>
      <c r="L521" s="93"/>
    </row>
    <row r="522" spans="4:12" s="45" customFormat="1">
      <c r="D522"/>
      <c r="E522" s="93"/>
      <c r="G522" s="93"/>
      <c r="H522" s="66"/>
      <c r="I522" s="93"/>
      <c r="J522" s="93"/>
      <c r="K522" s="93"/>
      <c r="L522" s="93"/>
    </row>
    <row r="523" spans="4:12" s="45" customFormat="1">
      <c r="D523"/>
      <c r="E523" s="93"/>
      <c r="G523" s="93"/>
      <c r="H523" s="66"/>
      <c r="I523" s="93"/>
      <c r="J523" s="93"/>
      <c r="K523" s="93"/>
      <c r="L523" s="93"/>
    </row>
    <row r="524" spans="4:12" s="45" customFormat="1">
      <c r="D524"/>
      <c r="E524" s="93"/>
      <c r="G524" s="93"/>
      <c r="H524" s="66"/>
      <c r="I524" s="93"/>
      <c r="J524" s="93"/>
      <c r="K524" s="93"/>
      <c r="L524" s="93"/>
    </row>
    <row r="525" spans="4:12" s="45" customFormat="1">
      <c r="D525"/>
      <c r="E525" s="93"/>
      <c r="G525" s="93"/>
      <c r="H525" s="66"/>
      <c r="I525" s="93"/>
      <c r="J525" s="93"/>
      <c r="K525" s="93"/>
      <c r="L525" s="93"/>
    </row>
    <row r="526" spans="4:12" s="45" customFormat="1">
      <c r="D526"/>
      <c r="E526" s="93"/>
      <c r="G526" s="93"/>
      <c r="H526" s="66"/>
      <c r="I526" s="93"/>
      <c r="J526" s="93"/>
      <c r="K526" s="93"/>
      <c r="L526" s="93"/>
    </row>
    <row r="527" spans="4:12" s="45" customFormat="1">
      <c r="D527"/>
      <c r="E527" s="93"/>
      <c r="G527" s="93"/>
      <c r="H527" s="66"/>
      <c r="I527" s="93"/>
      <c r="J527" s="93"/>
      <c r="K527" s="93"/>
      <c r="L527" s="93"/>
    </row>
    <row r="528" spans="4:12" s="45" customFormat="1">
      <c r="D528"/>
      <c r="E528" s="93"/>
      <c r="G528" s="93"/>
      <c r="H528" s="66"/>
      <c r="I528" s="93"/>
      <c r="J528" s="93"/>
      <c r="K528" s="93"/>
      <c r="L528" s="93"/>
    </row>
    <row r="529" spans="4:12" s="45" customFormat="1">
      <c r="D529"/>
      <c r="E529" s="93"/>
      <c r="G529" s="93"/>
      <c r="H529" s="66"/>
      <c r="I529" s="93"/>
      <c r="J529" s="93"/>
      <c r="K529" s="93"/>
      <c r="L529" s="93"/>
    </row>
    <row r="530" spans="4:12" s="45" customFormat="1">
      <c r="D530"/>
      <c r="E530" s="93"/>
      <c r="G530" s="93"/>
      <c r="H530" s="66"/>
      <c r="I530" s="93"/>
      <c r="J530" s="93"/>
      <c r="K530" s="93"/>
      <c r="L530" s="93"/>
    </row>
    <row r="531" spans="4:12" s="45" customFormat="1">
      <c r="D531"/>
      <c r="E531" s="93"/>
      <c r="G531" s="93"/>
      <c r="H531" s="66"/>
      <c r="I531" s="93"/>
      <c r="J531" s="93"/>
      <c r="K531" s="93"/>
      <c r="L531" s="93"/>
    </row>
    <row r="532" spans="4:12" s="45" customFormat="1">
      <c r="D532"/>
      <c r="E532" s="93"/>
      <c r="G532" s="93"/>
      <c r="H532" s="66"/>
      <c r="I532" s="93"/>
      <c r="J532" s="93"/>
      <c r="K532" s="93"/>
      <c r="L532" s="93"/>
    </row>
    <row r="533" spans="4:12" s="45" customFormat="1">
      <c r="D533"/>
      <c r="E533" s="93"/>
      <c r="G533" s="93"/>
      <c r="H533" s="66"/>
      <c r="I533" s="93"/>
      <c r="J533" s="93"/>
      <c r="K533" s="93"/>
      <c r="L533" s="93"/>
    </row>
    <row r="534" spans="4:12" s="45" customFormat="1">
      <c r="D534"/>
      <c r="E534" s="93"/>
      <c r="G534" s="93"/>
      <c r="H534" s="66"/>
      <c r="I534" s="93"/>
      <c r="J534" s="93"/>
      <c r="K534" s="93"/>
      <c r="L534" s="93"/>
    </row>
    <row r="535" spans="4:12" s="45" customFormat="1">
      <c r="D535"/>
      <c r="E535" s="93"/>
      <c r="G535" s="93"/>
      <c r="H535" s="66"/>
      <c r="I535" s="93"/>
      <c r="J535" s="93"/>
      <c r="K535" s="93"/>
      <c r="L535" s="93"/>
    </row>
    <row r="536" spans="4:12" s="45" customFormat="1">
      <c r="D536"/>
      <c r="E536" s="93"/>
      <c r="G536" s="93"/>
      <c r="H536" s="66"/>
      <c r="I536" s="93"/>
      <c r="J536" s="93"/>
      <c r="K536" s="93"/>
      <c r="L536" s="93"/>
    </row>
    <row r="537" spans="4:12" s="45" customFormat="1">
      <c r="D537"/>
      <c r="E537" s="93"/>
      <c r="G537" s="93"/>
      <c r="H537" s="66"/>
      <c r="I537" s="93"/>
      <c r="J537" s="93"/>
      <c r="K537" s="93"/>
      <c r="L537" s="93"/>
    </row>
    <row r="538" spans="4:12" s="45" customFormat="1">
      <c r="D538"/>
      <c r="E538" s="93"/>
      <c r="G538" s="93"/>
      <c r="H538" s="66"/>
      <c r="I538" s="93"/>
      <c r="J538" s="93"/>
      <c r="K538" s="93"/>
      <c r="L538" s="93"/>
    </row>
    <row r="539" spans="4:12" s="45" customFormat="1">
      <c r="D539"/>
      <c r="E539" s="93"/>
      <c r="G539" s="93"/>
      <c r="H539" s="66"/>
      <c r="I539" s="93"/>
      <c r="J539" s="93"/>
      <c r="K539" s="93"/>
      <c r="L539" s="93"/>
    </row>
    <row r="540" spans="4:12" s="45" customFormat="1">
      <c r="D540"/>
      <c r="E540" s="93"/>
      <c r="G540" s="93"/>
      <c r="H540" s="66"/>
      <c r="I540" s="93"/>
      <c r="J540" s="93"/>
      <c r="K540" s="93"/>
      <c r="L540" s="93"/>
    </row>
    <row r="541" spans="4:12" s="45" customFormat="1">
      <c r="D541"/>
      <c r="E541" s="93"/>
      <c r="G541" s="93"/>
      <c r="H541" s="66"/>
      <c r="I541" s="93"/>
      <c r="J541" s="93"/>
      <c r="K541" s="93"/>
      <c r="L541" s="93"/>
    </row>
    <row r="542" spans="4:12" s="45" customFormat="1">
      <c r="D542"/>
      <c r="E542" s="93"/>
      <c r="G542" s="93"/>
      <c r="H542" s="66"/>
      <c r="I542" s="93"/>
      <c r="J542" s="93"/>
      <c r="K542" s="93"/>
      <c r="L542" s="93"/>
    </row>
    <row r="543" spans="4:12" s="45" customFormat="1">
      <c r="D543"/>
      <c r="E543" s="93"/>
      <c r="G543" s="93"/>
      <c r="H543" s="66"/>
      <c r="I543" s="93"/>
      <c r="J543" s="93"/>
      <c r="K543" s="93"/>
      <c r="L543" s="93"/>
    </row>
    <row r="544" spans="4:12" s="45" customFormat="1">
      <c r="D544"/>
      <c r="E544" s="93"/>
      <c r="G544" s="93"/>
      <c r="H544" s="66"/>
      <c r="I544" s="93"/>
      <c r="J544" s="93"/>
      <c r="K544" s="93"/>
      <c r="L544" s="93"/>
    </row>
    <row r="545" spans="4:12" s="45" customFormat="1">
      <c r="D545"/>
      <c r="E545" s="93"/>
      <c r="G545" s="93"/>
      <c r="H545" s="66"/>
      <c r="I545" s="93"/>
      <c r="J545" s="93"/>
      <c r="K545" s="93"/>
      <c r="L545" s="93"/>
    </row>
    <row r="546" spans="4:12" s="45" customFormat="1">
      <c r="D546"/>
      <c r="E546" s="93"/>
      <c r="G546" s="93"/>
      <c r="H546" s="66"/>
      <c r="I546" s="93"/>
      <c r="J546" s="93"/>
      <c r="K546" s="93"/>
      <c r="L546" s="93"/>
    </row>
    <row r="547" spans="4:12" s="45" customFormat="1">
      <c r="D547"/>
      <c r="E547" s="93"/>
      <c r="G547" s="93"/>
      <c r="H547" s="66"/>
      <c r="I547" s="93"/>
      <c r="J547" s="93"/>
      <c r="K547" s="93"/>
      <c r="L547" s="93"/>
    </row>
    <row r="548" spans="4:12" s="45" customFormat="1">
      <c r="D548"/>
      <c r="E548" s="93"/>
      <c r="G548" s="93"/>
      <c r="H548" s="66"/>
      <c r="I548" s="93"/>
      <c r="J548" s="93"/>
      <c r="K548" s="93"/>
      <c r="L548" s="93"/>
    </row>
    <row r="549" spans="4:12" s="45" customFormat="1">
      <c r="D549"/>
      <c r="E549" s="93"/>
      <c r="G549" s="93"/>
      <c r="H549" s="66"/>
      <c r="I549" s="93"/>
      <c r="J549" s="93"/>
      <c r="K549" s="93"/>
      <c r="L549" s="93"/>
    </row>
    <row r="550" spans="4:12" s="45" customFormat="1">
      <c r="D550"/>
      <c r="E550" s="93"/>
      <c r="G550" s="93"/>
      <c r="H550" s="66"/>
      <c r="I550" s="93"/>
      <c r="J550" s="93"/>
      <c r="K550" s="93"/>
      <c r="L550" s="93"/>
    </row>
    <row r="551" spans="4:12" s="45" customFormat="1">
      <c r="D551"/>
      <c r="E551" s="93"/>
      <c r="G551" s="93"/>
      <c r="H551" s="66"/>
      <c r="I551" s="93"/>
      <c r="J551" s="93"/>
      <c r="K551" s="93"/>
      <c r="L551" s="93"/>
    </row>
    <row r="552" spans="4:12" s="45" customFormat="1">
      <c r="D552"/>
      <c r="E552" s="93"/>
      <c r="G552" s="93"/>
      <c r="H552" s="66"/>
      <c r="I552" s="93"/>
      <c r="J552" s="93"/>
      <c r="K552" s="93"/>
      <c r="L552" s="93"/>
    </row>
    <row r="553" spans="4:12" s="45" customFormat="1">
      <c r="D553"/>
      <c r="E553" s="93"/>
      <c r="G553" s="93"/>
      <c r="H553" s="66"/>
      <c r="I553" s="93"/>
      <c r="J553" s="93"/>
      <c r="K553" s="93"/>
      <c r="L553" s="93"/>
    </row>
    <row r="554" spans="4:12" s="45" customFormat="1">
      <c r="D554"/>
      <c r="E554" s="93"/>
      <c r="G554" s="93"/>
      <c r="H554" s="66"/>
      <c r="I554" s="93"/>
      <c r="J554" s="93"/>
      <c r="K554" s="93"/>
      <c r="L554" s="93"/>
    </row>
    <row r="555" spans="4:12" s="45" customFormat="1">
      <c r="D555"/>
      <c r="E555" s="93"/>
      <c r="G555" s="93"/>
      <c r="H555" s="66"/>
      <c r="I555" s="93"/>
      <c r="J555" s="93"/>
      <c r="K555" s="93"/>
      <c r="L555" s="93"/>
    </row>
    <row r="556" spans="4:12" s="45" customFormat="1">
      <c r="D556"/>
      <c r="E556" s="93"/>
      <c r="G556" s="93"/>
      <c r="H556" s="66"/>
      <c r="I556" s="93"/>
      <c r="J556" s="93"/>
      <c r="K556" s="93"/>
      <c r="L556" s="93"/>
    </row>
    <row r="557" spans="4:12" s="45" customFormat="1">
      <c r="D557"/>
      <c r="E557" s="93"/>
      <c r="G557" s="93"/>
      <c r="H557" s="66"/>
      <c r="I557" s="93"/>
      <c r="J557" s="93"/>
      <c r="K557" s="93"/>
      <c r="L557" s="93"/>
    </row>
    <row r="558" spans="4:12" s="45" customFormat="1">
      <c r="D558"/>
      <c r="E558" s="93"/>
      <c r="G558" s="93"/>
      <c r="H558" s="66"/>
      <c r="I558" s="93"/>
      <c r="J558" s="93"/>
      <c r="K558" s="93"/>
      <c r="L558" s="93"/>
    </row>
    <row r="559" spans="4:12" s="45" customFormat="1">
      <c r="D559"/>
      <c r="E559" s="93"/>
      <c r="G559" s="93"/>
      <c r="H559" s="66"/>
      <c r="I559" s="93"/>
      <c r="J559" s="93"/>
      <c r="K559" s="93"/>
      <c r="L559" s="93"/>
    </row>
    <row r="560" spans="4:12" s="45" customFormat="1">
      <c r="D560"/>
      <c r="E560" s="93"/>
      <c r="G560" s="93"/>
      <c r="H560" s="66"/>
      <c r="I560" s="93"/>
      <c r="J560" s="93"/>
      <c r="K560" s="93"/>
      <c r="L560" s="93"/>
    </row>
    <row r="561" spans="4:12" s="45" customFormat="1">
      <c r="D561"/>
      <c r="E561" s="93"/>
      <c r="G561" s="93"/>
      <c r="H561" s="66"/>
      <c r="I561" s="93"/>
      <c r="J561" s="93"/>
      <c r="K561" s="93"/>
      <c r="L561" s="93"/>
    </row>
    <row r="562" spans="4:12" s="45" customFormat="1">
      <c r="D562"/>
      <c r="E562" s="93"/>
      <c r="G562" s="93"/>
      <c r="H562" s="66"/>
      <c r="I562" s="93"/>
      <c r="J562" s="93"/>
      <c r="K562" s="93"/>
      <c r="L562" s="93"/>
    </row>
    <row r="563" spans="4:12" s="45" customFormat="1">
      <c r="D563"/>
      <c r="E563" s="93"/>
      <c r="G563" s="93"/>
      <c r="H563" s="66"/>
      <c r="I563" s="93"/>
      <c r="J563" s="93"/>
      <c r="K563" s="93"/>
      <c r="L563" s="93"/>
    </row>
    <row r="564" spans="4:12" s="45" customFormat="1">
      <c r="D564"/>
      <c r="E564" s="93"/>
      <c r="G564" s="93"/>
      <c r="H564" s="66"/>
      <c r="I564" s="93"/>
      <c r="J564" s="93"/>
      <c r="K564" s="93"/>
      <c r="L564" s="93"/>
    </row>
    <row r="565" spans="4:12" s="45" customFormat="1">
      <c r="D565"/>
      <c r="E565" s="93"/>
      <c r="G565" s="93"/>
      <c r="H565" s="66"/>
      <c r="I565" s="93"/>
      <c r="J565" s="93"/>
      <c r="K565" s="93"/>
      <c r="L565" s="93"/>
    </row>
    <row r="566" spans="4:12" s="45" customFormat="1">
      <c r="D566"/>
      <c r="E566" s="93"/>
      <c r="G566" s="93"/>
      <c r="H566" s="66"/>
      <c r="I566" s="93"/>
      <c r="J566" s="93"/>
      <c r="K566" s="93"/>
      <c r="L566" s="93"/>
    </row>
    <row r="567" spans="4:12" s="45" customFormat="1">
      <c r="D567"/>
      <c r="E567" s="93"/>
      <c r="G567" s="93"/>
      <c r="H567" s="66"/>
      <c r="I567" s="93"/>
      <c r="J567" s="93"/>
      <c r="K567" s="93"/>
      <c r="L567" s="93"/>
    </row>
    <row r="568" spans="4:12" s="45" customFormat="1">
      <c r="D568"/>
      <c r="E568" s="93"/>
      <c r="G568" s="93"/>
      <c r="H568" s="66"/>
      <c r="I568" s="93"/>
      <c r="J568" s="93"/>
      <c r="K568" s="93"/>
      <c r="L568" s="93"/>
    </row>
    <row r="569" spans="4:12" s="45" customFormat="1">
      <c r="D569"/>
      <c r="E569" s="93"/>
      <c r="G569" s="93"/>
      <c r="H569" s="66"/>
      <c r="I569" s="93"/>
      <c r="J569" s="93"/>
      <c r="K569" s="93"/>
      <c r="L569" s="93"/>
    </row>
    <row r="570" spans="4:12" s="45" customFormat="1">
      <c r="D570"/>
      <c r="E570" s="93"/>
      <c r="G570" s="93"/>
      <c r="H570" s="66"/>
      <c r="I570" s="93"/>
      <c r="J570" s="93"/>
      <c r="K570" s="93"/>
      <c r="L570" s="93"/>
    </row>
    <row r="571" spans="4:12" s="45" customFormat="1">
      <c r="D571"/>
      <c r="E571" s="93"/>
      <c r="G571" s="93"/>
      <c r="H571" s="66"/>
      <c r="I571" s="93"/>
      <c r="J571" s="93"/>
      <c r="K571" s="93"/>
      <c r="L571" s="93"/>
    </row>
    <row r="572" spans="4:12" s="45" customFormat="1">
      <c r="D572"/>
      <c r="E572" s="93"/>
      <c r="G572" s="93"/>
      <c r="H572" s="66"/>
      <c r="I572" s="93"/>
      <c r="J572" s="93"/>
      <c r="K572" s="93"/>
      <c r="L572" s="93"/>
    </row>
    <row r="573" spans="4:12" s="45" customFormat="1">
      <c r="D573"/>
      <c r="E573" s="93"/>
      <c r="G573" s="93"/>
      <c r="H573" s="66"/>
      <c r="I573" s="93"/>
      <c r="J573" s="93"/>
      <c r="K573" s="93"/>
      <c r="L573" s="93"/>
    </row>
    <row r="574" spans="4:12" s="45" customFormat="1">
      <c r="D574"/>
      <c r="E574" s="93"/>
      <c r="G574" s="93"/>
      <c r="H574" s="66"/>
      <c r="I574" s="93"/>
      <c r="J574" s="93"/>
      <c r="K574" s="93"/>
      <c r="L574" s="93"/>
    </row>
    <row r="575" spans="4:12" s="45" customFormat="1">
      <c r="D575"/>
      <c r="E575" s="93"/>
      <c r="G575" s="93"/>
      <c r="H575" s="66"/>
      <c r="I575" s="93"/>
      <c r="J575" s="93"/>
      <c r="K575" s="93"/>
      <c r="L575" s="93"/>
    </row>
    <row r="576" spans="4:12" s="45" customFormat="1">
      <c r="D576"/>
      <c r="E576" s="93"/>
      <c r="G576" s="93"/>
      <c r="H576" s="66"/>
      <c r="I576" s="93"/>
      <c r="J576" s="93"/>
      <c r="K576" s="93"/>
      <c r="L576" s="93"/>
    </row>
    <row r="577" spans="1:40" s="45" customFormat="1">
      <c r="D577"/>
      <c r="E577" s="93"/>
      <c r="G577" s="93"/>
      <c r="H577" s="66"/>
      <c r="I577" s="93"/>
      <c r="J577" s="93"/>
      <c r="K577" s="93"/>
      <c r="L577" s="93"/>
    </row>
    <row r="578" spans="1:40" s="45" customFormat="1">
      <c r="D578"/>
      <c r="E578" s="93"/>
      <c r="G578" s="93"/>
      <c r="H578" s="66"/>
      <c r="I578" s="93"/>
      <c r="J578" s="93"/>
      <c r="K578" s="93"/>
      <c r="L578" s="93"/>
    </row>
    <row r="579" spans="1:40" s="45" customFormat="1">
      <c r="D579"/>
      <c r="E579" s="93"/>
      <c r="G579" s="93"/>
      <c r="H579" s="66"/>
      <c r="I579" s="93"/>
      <c r="J579" s="93"/>
      <c r="K579" s="93"/>
      <c r="L579" s="93"/>
    </row>
    <row r="580" spans="1:40" s="45" customFormat="1">
      <c r="D580"/>
      <c r="E580" s="93"/>
      <c r="G580" s="93"/>
      <c r="H580" s="66"/>
      <c r="I580" s="93"/>
      <c r="J580" s="93"/>
      <c r="K580" s="93"/>
      <c r="L580" s="93"/>
    </row>
    <row r="581" spans="1:40" s="45" customFormat="1">
      <c r="D581"/>
      <c r="E581" s="93"/>
      <c r="G581" s="93"/>
      <c r="H581" s="66"/>
      <c r="I581" s="93"/>
      <c r="J581" s="93"/>
      <c r="K581" s="93"/>
      <c r="L581" s="93"/>
    </row>
    <row r="582" spans="1:40" s="45" customFormat="1">
      <c r="D582"/>
      <c r="E582" s="93"/>
      <c r="G582" s="93"/>
      <c r="H582" s="66"/>
      <c r="I582" s="93"/>
      <c r="J582" s="93"/>
      <c r="K582" s="93"/>
      <c r="L582" s="93"/>
    </row>
    <row r="583" spans="1:40" s="45" customFormat="1">
      <c r="D583"/>
      <c r="E583" s="93"/>
      <c r="G583" s="93"/>
      <c r="H583" s="66"/>
      <c r="I583" s="93"/>
      <c r="J583" s="93"/>
      <c r="K583" s="93"/>
      <c r="L583" s="93"/>
    </row>
    <row r="584" spans="1:40" s="45" customFormat="1">
      <c r="D584"/>
      <c r="E584" s="93"/>
      <c r="G584" s="93"/>
      <c r="H584" s="66"/>
      <c r="I584" s="93"/>
      <c r="J584" s="93"/>
      <c r="K584" s="93"/>
      <c r="L584" s="93"/>
    </row>
    <row r="585" spans="1:40" s="45" customFormat="1">
      <c r="D585"/>
      <c r="E585" s="93"/>
      <c r="G585" s="93"/>
      <c r="H585" s="66"/>
      <c r="I585" s="93"/>
      <c r="J585" s="93"/>
      <c r="K585" s="93"/>
      <c r="L585" s="93"/>
    </row>
    <row r="586" spans="1:40" s="45" customFormat="1">
      <c r="D586"/>
      <c r="E586" s="93"/>
      <c r="G586" s="93"/>
      <c r="H586" s="66"/>
      <c r="I586" s="93"/>
      <c r="J586" s="93"/>
      <c r="K586" s="93"/>
      <c r="L586" s="93"/>
    </row>
    <row r="587" spans="1:40" s="45" customFormat="1">
      <c r="D587"/>
      <c r="E587" s="93"/>
      <c r="G587" s="93"/>
      <c r="H587" s="66"/>
      <c r="I587" s="93"/>
      <c r="J587" s="93"/>
      <c r="K587" s="93"/>
      <c r="L587" s="93"/>
    </row>
    <row r="588" spans="1:40">
      <c r="A588" s="45"/>
      <c r="B588" s="45"/>
      <c r="C588" s="45"/>
      <c r="E588" s="93"/>
      <c r="F588" s="45"/>
      <c r="G588" s="93"/>
      <c r="H588" s="66"/>
      <c r="I588" s="93"/>
      <c r="T588" s="45"/>
      <c r="U588" s="45"/>
      <c r="V588" s="45"/>
      <c r="W588" s="45"/>
      <c r="X588" s="45"/>
      <c r="Y588" s="45"/>
      <c r="Z588" s="45"/>
      <c r="AI588" s="45"/>
      <c r="AJ588" s="45"/>
      <c r="AK588" s="45"/>
      <c r="AL588" s="45"/>
      <c r="AM588" s="45"/>
      <c r="AN588" s="45"/>
    </row>
    <row r="589" spans="1:40">
      <c r="A589" s="45"/>
      <c r="B589" s="45"/>
      <c r="C589" s="45"/>
      <c r="T589" s="45"/>
      <c r="U589" s="45"/>
      <c r="V589" s="45"/>
      <c r="W589" s="45"/>
      <c r="X589" s="45"/>
      <c r="AI589" s="45"/>
      <c r="AJ589" s="45"/>
      <c r="AK589" s="45"/>
      <c r="AL589" s="45"/>
      <c r="AM589" s="45"/>
      <c r="AN589" s="45"/>
    </row>
    <row r="590" spans="1:40">
      <c r="AI590" s="45"/>
      <c r="AJ590" s="45"/>
      <c r="AK590" s="45"/>
      <c r="AL590" s="45"/>
      <c r="AM590" s="45"/>
      <c r="AN590" s="45"/>
    </row>
  </sheetData>
  <sheetProtection selectLockedCells="1"/>
  <mergeCells count="25">
    <mergeCell ref="AP10:AR25"/>
    <mergeCell ref="AP2:AR9"/>
    <mergeCell ref="Z69:AC69"/>
    <mergeCell ref="F9:G9"/>
    <mergeCell ref="F16:G16"/>
    <mergeCell ref="AI69:AJ69"/>
    <mergeCell ref="U69:W69"/>
    <mergeCell ref="AE69:AG69"/>
    <mergeCell ref="A28:C29"/>
    <mergeCell ref="AI68:AJ68"/>
    <mergeCell ref="F10:G10"/>
    <mergeCell ref="F15:G15"/>
    <mergeCell ref="F11:G11"/>
    <mergeCell ref="F12:G12"/>
    <mergeCell ref="F13:G13"/>
    <mergeCell ref="U68:W68"/>
    <mergeCell ref="AE68:AG68"/>
    <mergeCell ref="Z68:AC68"/>
    <mergeCell ref="A74:B74"/>
    <mergeCell ref="A43:C43"/>
    <mergeCell ref="A39:B39"/>
    <mergeCell ref="A33:B33"/>
    <mergeCell ref="A38:B38"/>
    <mergeCell ref="A41:B41"/>
    <mergeCell ref="A42:B42"/>
  </mergeCells>
  <phoneticPr fontId="13" type="noConversion"/>
  <pageMargins left="0.59055118110236227" right="0.59055118110236227" top="1.1811023622047245" bottom="1.1811023622047245" header="0.31496062992125984" footer="0.35433070866141736"/>
  <pageSetup paperSize="9" scale="65" orientation="landscape" r:id="rId1"/>
  <headerFooter differentFirst="1">
    <oddHeader>&amp;L&amp;8&amp;G &amp;"Arial,Gras"Service cantonal des contributions&amp;"Arial,Normal" 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AC100"/>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2</xdr:col>
                    <xdr:colOff>1057275</xdr:colOff>
                    <xdr:row>21</xdr:row>
                    <xdr:rowOff>28575</xdr:rowOff>
                  </from>
                  <to>
                    <xdr:col>5</xdr:col>
                    <xdr:colOff>590550</xdr:colOff>
                    <xdr:row>22</xdr:row>
                    <xdr:rowOff>104775</xdr:rowOff>
                  </to>
                </anchor>
              </controlPr>
            </control>
          </mc:Choice>
        </mc:AlternateContent>
        <mc:AlternateContent xmlns:mc="http://schemas.openxmlformats.org/markup-compatibility/2006">
          <mc:Choice Requires="x14">
            <control shapeId="1026" r:id="rId6" name="Drop Down 2">
              <controlPr defaultSize="0" autoLine="0" autoPict="0">
                <anchor moveWithCells="1">
                  <from>
                    <xdr:col>4</xdr:col>
                    <xdr:colOff>9525</xdr:colOff>
                    <xdr:row>26</xdr:row>
                    <xdr:rowOff>0</xdr:rowOff>
                  </from>
                  <to>
                    <xdr:col>5</xdr:col>
                    <xdr:colOff>742950</xdr:colOff>
                    <xdr:row>27</xdr:row>
                    <xdr:rowOff>9525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xdr:col>
                    <xdr:colOff>9525</xdr:colOff>
                    <xdr:row>31</xdr:row>
                    <xdr:rowOff>0</xdr:rowOff>
                  </from>
                  <to>
                    <xdr:col>5</xdr:col>
                    <xdr:colOff>742950</xdr:colOff>
                    <xdr:row>32</xdr:row>
                    <xdr:rowOff>28575</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4</xdr:col>
                    <xdr:colOff>9525</xdr:colOff>
                    <xdr:row>36</xdr:row>
                    <xdr:rowOff>0</xdr:rowOff>
                  </from>
                  <to>
                    <xdr:col>5</xdr:col>
                    <xdr:colOff>742950</xdr:colOff>
                    <xdr:row>37</xdr:row>
                    <xdr:rowOff>19050</xdr:rowOff>
                  </to>
                </anchor>
              </controlPr>
            </control>
          </mc:Choice>
        </mc:AlternateContent>
        <mc:AlternateContent xmlns:mc="http://schemas.openxmlformats.org/markup-compatibility/2006">
          <mc:Choice Requires="x14">
            <control shapeId="1057" r:id="rId9" name="Drop Down 33">
              <controlPr defaultSize="0" autoLine="0" autoPict="0">
                <anchor moveWithCells="1">
                  <from>
                    <xdr:col>4</xdr:col>
                    <xdr:colOff>9525</xdr:colOff>
                    <xdr:row>42</xdr:row>
                    <xdr:rowOff>0</xdr:rowOff>
                  </from>
                  <to>
                    <xdr:col>5</xdr:col>
                    <xdr:colOff>742950</xdr:colOff>
                    <xdr:row>43</xdr:row>
                    <xdr:rowOff>19050</xdr:rowOff>
                  </to>
                </anchor>
              </controlPr>
            </control>
          </mc:Choice>
        </mc:AlternateContent>
        <mc:AlternateContent xmlns:mc="http://schemas.openxmlformats.org/markup-compatibility/2006">
          <mc:Choice Requires="x14">
            <control shapeId="1058" r:id="rId10" name="Drop Down 34">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59" r:id="rId11" name="Drop Down 35">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60" r:id="rId12" name="Drop Down 36">
              <controlPr defaultSize="0" autoLine="0" autoPict="0">
                <anchor moveWithCells="1">
                  <from>
                    <xdr:col>9</xdr:col>
                    <xdr:colOff>9525</xdr:colOff>
                    <xdr:row>26</xdr:row>
                    <xdr:rowOff>0</xdr:rowOff>
                  </from>
                  <to>
                    <xdr:col>10</xdr:col>
                    <xdr:colOff>638175</xdr:colOff>
                    <xdr:row>27</xdr:row>
                    <xdr:rowOff>9525</xdr:rowOff>
                  </to>
                </anchor>
              </controlPr>
            </control>
          </mc:Choice>
        </mc:AlternateContent>
        <mc:AlternateContent xmlns:mc="http://schemas.openxmlformats.org/markup-compatibility/2006">
          <mc:Choice Requires="x14">
            <control shapeId="1061" r:id="rId13" name="Drop Down 37">
              <controlPr defaultSize="0" autoLine="0" autoPict="0">
                <anchor moveWithCells="1">
                  <from>
                    <xdr:col>9</xdr:col>
                    <xdr:colOff>9525</xdr:colOff>
                    <xdr:row>31</xdr:row>
                    <xdr:rowOff>0</xdr:rowOff>
                  </from>
                  <to>
                    <xdr:col>10</xdr:col>
                    <xdr:colOff>638175</xdr:colOff>
                    <xdr:row>32</xdr:row>
                    <xdr:rowOff>28575</xdr:rowOff>
                  </to>
                </anchor>
              </controlPr>
            </control>
          </mc:Choice>
        </mc:AlternateContent>
        <mc:AlternateContent xmlns:mc="http://schemas.openxmlformats.org/markup-compatibility/2006">
          <mc:Choice Requires="x14">
            <control shapeId="1062" r:id="rId14" name="Drop Down 38">
              <controlPr defaultSize="0" autoLine="0" autoPict="0">
                <anchor moveWithCells="1">
                  <from>
                    <xdr:col>9</xdr:col>
                    <xdr:colOff>9525</xdr:colOff>
                    <xdr:row>36</xdr:row>
                    <xdr:rowOff>0</xdr:rowOff>
                  </from>
                  <to>
                    <xdr:col>10</xdr:col>
                    <xdr:colOff>638175</xdr:colOff>
                    <xdr:row>37</xdr:row>
                    <xdr:rowOff>19050</xdr:rowOff>
                  </to>
                </anchor>
              </controlPr>
            </control>
          </mc:Choice>
        </mc:AlternateContent>
        <mc:AlternateContent xmlns:mc="http://schemas.openxmlformats.org/markup-compatibility/2006">
          <mc:Choice Requires="x14">
            <control shapeId="1063" r:id="rId15" name="Drop Down 39">
              <controlPr defaultSize="0" autoLine="0" autoPict="0">
                <anchor moveWithCells="1">
                  <from>
                    <xdr:col>9</xdr:col>
                    <xdr:colOff>9525</xdr:colOff>
                    <xdr:row>42</xdr:row>
                    <xdr:rowOff>0</xdr:rowOff>
                  </from>
                  <to>
                    <xdr:col>10</xdr:col>
                    <xdr:colOff>638175</xdr:colOff>
                    <xdr:row>43</xdr:row>
                    <xdr:rowOff>19050</xdr:rowOff>
                  </to>
                </anchor>
              </controlPr>
            </control>
          </mc:Choice>
        </mc:AlternateContent>
        <mc:AlternateContent xmlns:mc="http://schemas.openxmlformats.org/markup-compatibility/2006">
          <mc:Choice Requires="x14">
            <control shapeId="1064" r:id="rId16" name="Drop Down 40">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5" r:id="rId17" name="Drop Down 41">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67" r:id="rId19" name="Drop Down 43">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8" r:id="rId20" name="Drop Down 44">
              <controlPr defaultSize="0" autoLine="0" autoPict="0">
                <anchor moveWithCells="1">
                  <from>
                    <xdr:col>4</xdr:col>
                    <xdr:colOff>9525</xdr:colOff>
                    <xdr:row>48</xdr:row>
                    <xdr:rowOff>0</xdr:rowOff>
                  </from>
                  <to>
                    <xdr:col>5</xdr:col>
                    <xdr:colOff>742950</xdr:colOff>
                    <xdr:row>83</xdr:row>
                    <xdr:rowOff>19050</xdr:rowOff>
                  </to>
                </anchor>
              </controlPr>
            </control>
          </mc:Choice>
        </mc:AlternateContent>
        <mc:AlternateContent xmlns:mc="http://schemas.openxmlformats.org/markup-compatibility/2006">
          <mc:Choice Requires="x14">
            <control shapeId="1069" r:id="rId21" name="Drop Down 45">
              <controlPr defaultSize="0" autoLine="0" autoPict="0">
                <anchor moveWithCells="1">
                  <from>
                    <xdr:col>9</xdr:col>
                    <xdr:colOff>9525</xdr:colOff>
                    <xdr:row>48</xdr:row>
                    <xdr:rowOff>0</xdr:rowOff>
                  </from>
                  <to>
                    <xdr:col>10</xdr:col>
                    <xdr:colOff>638175</xdr:colOff>
                    <xdr:row>83</xdr:row>
                    <xdr:rowOff>19050</xdr:rowOff>
                  </to>
                </anchor>
              </controlPr>
            </control>
          </mc:Choice>
        </mc:AlternateContent>
        <mc:AlternateContent xmlns:mc="http://schemas.openxmlformats.org/markup-compatibility/2006">
          <mc:Choice Requires="x14">
            <control shapeId="1071" r:id="rId22" name="Drop Down 47">
              <controlPr locked="0" defaultSize="0" autoLine="0" autoPict="0">
                <anchor moveWithCells="1">
                  <from>
                    <xdr:col>4</xdr:col>
                    <xdr:colOff>28575</xdr:colOff>
                    <xdr:row>7</xdr:row>
                    <xdr:rowOff>9525</xdr:rowOff>
                  </from>
                  <to>
                    <xdr:col>5</xdr:col>
                    <xdr:colOff>762000</xdr:colOff>
                    <xdr:row>7</xdr:row>
                    <xdr:rowOff>209550</xdr:rowOff>
                  </to>
                </anchor>
              </controlPr>
            </control>
          </mc:Choice>
        </mc:AlternateContent>
        <mc:AlternateContent xmlns:mc="http://schemas.openxmlformats.org/markup-compatibility/2006">
          <mc:Choice Requires="x14">
            <control shapeId="1072" r:id="rId23" name="Drop Down 48">
              <controlPr locked="0" defaultSize="0" autoLine="0" autoPict="0">
                <anchor moveWithCells="1">
                  <from>
                    <xdr:col>4</xdr:col>
                    <xdr:colOff>28575</xdr:colOff>
                    <xdr:row>6</xdr:row>
                    <xdr:rowOff>9525</xdr:rowOff>
                  </from>
                  <to>
                    <xdr:col>5</xdr:col>
                    <xdr:colOff>762000</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177"/>
  <sheetViews>
    <sheetView topLeftCell="A38" workbookViewId="0">
      <selection activeCell="A170" sqref="A170:XFD170"/>
    </sheetView>
  </sheetViews>
  <sheetFormatPr baseColWidth="10" defaultRowHeight="12"/>
  <cols>
    <col min="1" max="16384" width="11.42578125" style="146"/>
  </cols>
  <sheetData>
    <row r="1" spans="1:5">
      <c r="A1" s="145">
        <v>1</v>
      </c>
      <c r="D1" s="164"/>
      <c r="E1" s="164"/>
    </row>
    <row r="2" spans="1:5" ht="13.5">
      <c r="A2" s="145">
        <v>2</v>
      </c>
      <c r="B2" s="147">
        <v>301</v>
      </c>
      <c r="C2" s="148" t="s">
        <v>45</v>
      </c>
      <c r="D2" s="169">
        <v>81.347999999999999</v>
      </c>
      <c r="E2" s="149">
        <v>18.652000000000001</v>
      </c>
    </row>
    <row r="3" spans="1:5" ht="13.5">
      <c r="A3" s="145">
        <v>3</v>
      </c>
      <c r="B3" s="147">
        <v>201</v>
      </c>
      <c r="C3" s="148" t="s">
        <v>137</v>
      </c>
      <c r="D3" s="149">
        <v>91.992999999999995</v>
      </c>
      <c r="E3" s="149">
        <v>8.0069999999999997</v>
      </c>
    </row>
    <row r="4" spans="1:5" ht="13.5">
      <c r="A4" s="145">
        <v>4</v>
      </c>
      <c r="B4" s="147">
        <v>801</v>
      </c>
      <c r="C4" s="148" t="s">
        <v>65</v>
      </c>
      <c r="D4" s="149">
        <v>76.13</v>
      </c>
      <c r="E4" s="149">
        <v>23.87</v>
      </c>
    </row>
    <row r="5" spans="1:5" ht="13.5">
      <c r="A5" s="145">
        <v>5</v>
      </c>
      <c r="B5" s="147">
        <v>601</v>
      </c>
      <c r="C5" s="148" t="s">
        <v>105</v>
      </c>
      <c r="D5" s="149">
        <v>80.741</v>
      </c>
      <c r="E5" s="149">
        <v>19.259</v>
      </c>
    </row>
    <row r="6" spans="1:5" ht="13.5">
      <c r="A6" s="145">
        <v>6</v>
      </c>
      <c r="B6" s="147">
        <v>202</v>
      </c>
      <c r="C6" s="148" t="s">
        <v>138</v>
      </c>
      <c r="D6" s="149">
        <v>84.81</v>
      </c>
      <c r="E6" s="149">
        <v>15.19</v>
      </c>
    </row>
    <row r="7" spans="1:5" ht="13.5">
      <c r="A7" s="145">
        <v>7</v>
      </c>
      <c r="B7" s="147">
        <v>203</v>
      </c>
      <c r="C7" s="148" t="s">
        <v>139</v>
      </c>
      <c r="D7" s="149">
        <v>93.090999999999994</v>
      </c>
      <c r="E7" s="149">
        <v>6.9089999999999998</v>
      </c>
    </row>
    <row r="8" spans="1:5" ht="13.5">
      <c r="A8" s="145">
        <v>8</v>
      </c>
      <c r="B8" s="147">
        <v>204</v>
      </c>
      <c r="C8" s="148" t="s">
        <v>140</v>
      </c>
      <c r="D8" s="149">
        <v>87.522000000000006</v>
      </c>
      <c r="E8" s="149">
        <v>12.478</v>
      </c>
    </row>
    <row r="9" spans="1:5" ht="13.5">
      <c r="A9" s="145">
        <v>9</v>
      </c>
      <c r="B9" s="147">
        <v>403</v>
      </c>
      <c r="C9" s="148" t="s">
        <v>195</v>
      </c>
      <c r="D9" s="149">
        <v>80</v>
      </c>
      <c r="E9" s="149">
        <v>20</v>
      </c>
    </row>
    <row r="10" spans="1:5" ht="13.5">
      <c r="A10" s="145">
        <v>10</v>
      </c>
      <c r="B10" s="147">
        <v>442</v>
      </c>
      <c r="C10" s="148" t="s">
        <v>212</v>
      </c>
      <c r="D10" s="149">
        <v>95.238</v>
      </c>
      <c r="E10" s="149">
        <v>4.7619999999999996</v>
      </c>
    </row>
    <row r="11" spans="1:5" ht="13.5">
      <c r="A11" s="145">
        <v>11</v>
      </c>
      <c r="B11" s="147">
        <v>540</v>
      </c>
      <c r="C11" s="148" t="s">
        <v>196</v>
      </c>
      <c r="D11" s="149">
        <v>37.186</v>
      </c>
      <c r="E11" s="149">
        <v>62.814</v>
      </c>
    </row>
    <row r="12" spans="1:5" ht="13.5">
      <c r="A12" s="145">
        <v>12</v>
      </c>
      <c r="B12" s="147">
        <v>205</v>
      </c>
      <c r="C12" s="148" t="s">
        <v>141</v>
      </c>
      <c r="D12" s="149">
        <v>91.328000000000003</v>
      </c>
      <c r="E12" s="149">
        <v>8.6720000000000006</v>
      </c>
    </row>
    <row r="13" spans="1:5" ht="13.5">
      <c r="A13" s="145">
        <v>13</v>
      </c>
      <c r="B13" s="147">
        <v>603</v>
      </c>
      <c r="C13" s="148" t="s">
        <v>106</v>
      </c>
      <c r="D13" s="149">
        <v>92.11</v>
      </c>
      <c r="E13" s="149">
        <v>7.89</v>
      </c>
    </row>
    <row r="14" spans="1:5" ht="13.5">
      <c r="A14" s="145">
        <v>14</v>
      </c>
      <c r="B14" s="147">
        <v>302</v>
      </c>
      <c r="C14" s="148" t="s">
        <v>46</v>
      </c>
      <c r="D14" s="149">
        <v>61.360999999999997</v>
      </c>
      <c r="E14" s="149">
        <v>38.639000000000003</v>
      </c>
    </row>
    <row r="15" spans="1:5" ht="13.5">
      <c r="A15" s="145">
        <v>15</v>
      </c>
      <c r="B15" s="147">
        <v>803</v>
      </c>
      <c r="C15" s="148" t="s">
        <v>66</v>
      </c>
      <c r="D15" s="149">
        <v>78.271000000000001</v>
      </c>
      <c r="E15" s="149">
        <v>21.728999999999999</v>
      </c>
    </row>
    <row r="16" spans="1:5" ht="13.5">
      <c r="A16" s="145">
        <v>16</v>
      </c>
      <c r="B16" s="147">
        <v>403</v>
      </c>
      <c r="C16" s="148" t="s">
        <v>172</v>
      </c>
      <c r="D16" s="149">
        <v>91.379000000000005</v>
      </c>
      <c r="E16" s="149">
        <v>8.6210000000000004</v>
      </c>
    </row>
    <row r="17" spans="1:5" ht="13.5">
      <c r="A17" s="145">
        <v>17</v>
      </c>
      <c r="B17" s="147">
        <v>404</v>
      </c>
      <c r="C17" s="148" t="s">
        <v>173</v>
      </c>
      <c r="D17" s="149">
        <v>95.08</v>
      </c>
      <c r="E17" s="149">
        <v>4.92</v>
      </c>
    </row>
    <row r="18" spans="1:5" ht="13.5">
      <c r="A18" s="145">
        <v>18</v>
      </c>
      <c r="B18" s="147">
        <v>303</v>
      </c>
      <c r="C18" s="148" t="s">
        <v>47</v>
      </c>
      <c r="D18" s="149">
        <v>82.409000000000006</v>
      </c>
      <c r="E18" s="149">
        <v>17.591000000000001</v>
      </c>
    </row>
    <row r="19" spans="1:5" ht="13.5">
      <c r="A19" s="145">
        <v>19</v>
      </c>
      <c r="B19" s="147">
        <v>504</v>
      </c>
      <c r="C19" s="148" t="s">
        <v>197</v>
      </c>
      <c r="D19" s="149">
        <v>10.317</v>
      </c>
      <c r="E19" s="149">
        <v>89.683000000000007</v>
      </c>
    </row>
    <row r="20" spans="1:5" ht="13.5">
      <c r="A20" s="145">
        <v>20</v>
      </c>
      <c r="B20" s="147">
        <v>405</v>
      </c>
      <c r="C20" s="148" t="s">
        <v>174</v>
      </c>
      <c r="D20" s="149">
        <v>93.004000000000005</v>
      </c>
      <c r="E20" s="149">
        <v>6.9960000000000004</v>
      </c>
    </row>
    <row r="21" spans="1:5" ht="13.5">
      <c r="A21" s="145">
        <v>21</v>
      </c>
      <c r="B21" s="147">
        <v>704</v>
      </c>
      <c r="C21" s="148" t="s">
        <v>221</v>
      </c>
      <c r="D21" s="149">
        <v>88.186000000000007</v>
      </c>
      <c r="E21" s="149">
        <v>11.814</v>
      </c>
    </row>
    <row r="22" spans="1:5" ht="13.5">
      <c r="A22" s="145">
        <v>22</v>
      </c>
      <c r="B22" s="150">
        <v>406</v>
      </c>
      <c r="C22" s="148" t="s">
        <v>175</v>
      </c>
      <c r="D22" s="149">
        <v>96.203000000000003</v>
      </c>
      <c r="E22" s="149">
        <v>3.7970000000000002</v>
      </c>
    </row>
    <row r="23" spans="1:5" ht="13.5">
      <c r="A23" s="145">
        <v>23</v>
      </c>
      <c r="B23" s="147">
        <v>705</v>
      </c>
      <c r="C23" s="148" t="s">
        <v>222</v>
      </c>
      <c r="D23" s="149">
        <v>76.600999999999999</v>
      </c>
      <c r="E23" s="149">
        <v>23.399000000000001</v>
      </c>
    </row>
    <row r="24" spans="1:5" ht="13.5">
      <c r="A24" s="145">
        <v>24</v>
      </c>
      <c r="B24" s="147">
        <v>606</v>
      </c>
      <c r="C24" s="148" t="s">
        <v>107</v>
      </c>
      <c r="D24" s="149">
        <v>73.62</v>
      </c>
      <c r="E24" s="149">
        <v>26.38</v>
      </c>
    </row>
    <row r="25" spans="1:5" ht="13.5">
      <c r="A25" s="145">
        <v>25</v>
      </c>
      <c r="B25" s="147">
        <v>407</v>
      </c>
      <c r="C25" s="148" t="s">
        <v>176</v>
      </c>
      <c r="D25" s="149">
        <v>93.731999999999999</v>
      </c>
      <c r="E25" s="149">
        <v>6.2679999999999998</v>
      </c>
    </row>
    <row r="26" spans="1:5" ht="13.5">
      <c r="A26" s="145">
        <v>26</v>
      </c>
      <c r="B26" s="150">
        <v>805</v>
      </c>
      <c r="C26" s="148" t="s">
        <v>67</v>
      </c>
      <c r="D26" s="149">
        <v>85.963999999999999</v>
      </c>
      <c r="E26" s="149">
        <v>14.036</v>
      </c>
    </row>
    <row r="27" spans="1:5" ht="13.5">
      <c r="A27" s="145">
        <v>27</v>
      </c>
      <c r="B27" s="147">
        <v>408</v>
      </c>
      <c r="C27" s="148" t="s">
        <v>177</v>
      </c>
      <c r="D27" s="149">
        <v>87.096999999999994</v>
      </c>
      <c r="E27" s="149">
        <v>12.903</v>
      </c>
    </row>
    <row r="28" spans="1:5" ht="13.5">
      <c r="A28" s="145">
        <v>28</v>
      </c>
      <c r="B28" s="147">
        <v>708</v>
      </c>
      <c r="C28" s="148" t="s">
        <v>223</v>
      </c>
      <c r="D28" s="149">
        <v>76.522000000000006</v>
      </c>
      <c r="E28" s="149">
        <v>23.478000000000002</v>
      </c>
    </row>
    <row r="29" spans="1:5" ht="13.5">
      <c r="A29" s="145">
        <v>29</v>
      </c>
      <c r="B29" s="147">
        <v>608</v>
      </c>
      <c r="C29" s="148" t="s">
        <v>109</v>
      </c>
      <c r="D29" s="149">
        <v>82.664000000000001</v>
      </c>
      <c r="E29" s="149">
        <v>17.335999999999999</v>
      </c>
    </row>
    <row r="30" spans="1:5" ht="13.5">
      <c r="A30" s="145">
        <v>30</v>
      </c>
      <c r="B30" s="147">
        <v>709</v>
      </c>
      <c r="C30" s="148" t="s">
        <v>224</v>
      </c>
      <c r="D30" s="149">
        <v>78.546999999999997</v>
      </c>
      <c r="E30" s="149">
        <v>21.452999999999999</v>
      </c>
    </row>
    <row r="31" spans="1:5" ht="13.5">
      <c r="A31" s="145">
        <v>31</v>
      </c>
      <c r="B31" s="147">
        <v>207</v>
      </c>
      <c r="C31" s="148" t="s">
        <v>143</v>
      </c>
      <c r="D31" s="149">
        <v>95.21</v>
      </c>
      <c r="E31" s="149">
        <v>4.79</v>
      </c>
    </row>
    <row r="32" spans="1:5" ht="13.5">
      <c r="A32" s="145">
        <v>32</v>
      </c>
      <c r="B32" s="147">
        <v>209</v>
      </c>
      <c r="C32" s="148" t="s">
        <v>144</v>
      </c>
      <c r="D32" s="149">
        <v>87.367999999999995</v>
      </c>
      <c r="E32" s="149">
        <v>12.632</v>
      </c>
    </row>
    <row r="33" spans="1:5" ht="13.5">
      <c r="A33" s="145">
        <v>33</v>
      </c>
      <c r="B33" s="147">
        <v>710</v>
      </c>
      <c r="C33" s="148" t="s">
        <v>225</v>
      </c>
      <c r="D33" s="149">
        <v>69.944999999999993</v>
      </c>
      <c r="E33" s="149">
        <v>30.055</v>
      </c>
    </row>
    <row r="34" spans="1:5" ht="13.5">
      <c r="A34" s="145">
        <v>34</v>
      </c>
      <c r="B34" s="147">
        <v>409</v>
      </c>
      <c r="C34" s="148" t="s">
        <v>178</v>
      </c>
      <c r="D34" s="149">
        <v>94.822000000000003</v>
      </c>
      <c r="E34" s="149">
        <v>5.1779999999999999</v>
      </c>
    </row>
    <row r="35" spans="1:5" ht="13.5">
      <c r="A35" s="145">
        <v>35</v>
      </c>
      <c r="B35" s="147">
        <v>213</v>
      </c>
      <c r="C35" s="148" t="s">
        <v>145</v>
      </c>
      <c r="D35" s="149">
        <v>90.46</v>
      </c>
      <c r="E35" s="149">
        <v>9.5399999999999991</v>
      </c>
    </row>
    <row r="36" spans="1:5" ht="13.5">
      <c r="A36" s="145">
        <v>36</v>
      </c>
      <c r="B36" s="147">
        <v>214</v>
      </c>
      <c r="C36" s="148" t="s">
        <v>146</v>
      </c>
      <c r="D36" s="149">
        <v>93.623000000000005</v>
      </c>
      <c r="E36" s="149">
        <v>6.3769999999999998</v>
      </c>
    </row>
    <row r="37" spans="1:5" ht="13.5">
      <c r="A37" s="145">
        <v>37</v>
      </c>
      <c r="B37" s="147">
        <v>215</v>
      </c>
      <c r="C37" s="148" t="s">
        <v>147</v>
      </c>
      <c r="D37" s="149">
        <v>94.582999999999998</v>
      </c>
      <c r="E37" s="149">
        <v>5.4169999999999998</v>
      </c>
    </row>
    <row r="38" spans="1:5" ht="13.5">
      <c r="A38" s="145">
        <v>38</v>
      </c>
      <c r="B38" s="147">
        <v>216</v>
      </c>
      <c r="C38" s="148" t="s">
        <v>148</v>
      </c>
      <c r="D38" s="149">
        <v>94.712999999999994</v>
      </c>
      <c r="E38" s="149">
        <v>5.2869999999999999</v>
      </c>
    </row>
    <row r="39" spans="1:5" ht="13.5">
      <c r="A39" s="145">
        <v>39</v>
      </c>
      <c r="B39" s="147">
        <v>510</v>
      </c>
      <c r="C39" s="148" t="s">
        <v>198</v>
      </c>
      <c r="D39" s="149">
        <v>42.302</v>
      </c>
      <c r="E39" s="149">
        <v>57.698</v>
      </c>
    </row>
    <row r="40" spans="1:5" ht="13.5">
      <c r="A40" s="145">
        <v>40</v>
      </c>
      <c r="B40" s="147">
        <v>511</v>
      </c>
      <c r="C40" s="148" t="s">
        <v>199</v>
      </c>
      <c r="D40" s="149">
        <v>24.434000000000001</v>
      </c>
      <c r="E40" s="149">
        <v>75.566000000000003</v>
      </c>
    </row>
    <row r="41" spans="1:5" ht="13.5">
      <c r="A41" s="145">
        <v>41</v>
      </c>
      <c r="B41" s="147">
        <v>514</v>
      </c>
      <c r="C41" s="151" t="s">
        <v>200</v>
      </c>
      <c r="D41" s="149">
        <v>81.441999999999993</v>
      </c>
      <c r="E41" s="149">
        <v>18.558</v>
      </c>
    </row>
    <row r="42" spans="1:5" ht="13.5">
      <c r="A42" s="145">
        <v>42</v>
      </c>
      <c r="B42" s="147">
        <v>517</v>
      </c>
      <c r="C42" s="148" t="s">
        <v>201</v>
      </c>
      <c r="D42" s="149">
        <v>69.950999999999993</v>
      </c>
      <c r="E42" s="149">
        <v>30.048999999999999</v>
      </c>
    </row>
    <row r="43" spans="1:5" ht="13.5">
      <c r="A43" s="145">
        <v>43</v>
      </c>
      <c r="B43" s="147">
        <v>410</v>
      </c>
      <c r="C43" s="148" t="s">
        <v>179</v>
      </c>
      <c r="D43" s="149">
        <v>89.372</v>
      </c>
      <c r="E43" s="149">
        <v>10.628</v>
      </c>
    </row>
    <row r="44" spans="1:5" ht="13.5">
      <c r="A44" s="145">
        <v>44</v>
      </c>
      <c r="B44" s="147">
        <v>711</v>
      </c>
      <c r="C44" s="148" t="s">
        <v>226</v>
      </c>
      <c r="D44" s="149">
        <v>86.566000000000003</v>
      </c>
      <c r="E44" s="149">
        <v>13.433999999999999</v>
      </c>
    </row>
    <row r="45" spans="1:5" ht="13.5">
      <c r="A45" s="145">
        <v>45</v>
      </c>
      <c r="B45" s="147">
        <v>751</v>
      </c>
      <c r="C45" s="148" t="s">
        <v>213</v>
      </c>
      <c r="D45" s="149">
        <v>79.775000000000006</v>
      </c>
      <c r="E45" s="149">
        <v>20.225000000000001</v>
      </c>
    </row>
    <row r="46" spans="1:5" ht="13.5">
      <c r="A46" s="145">
        <v>46</v>
      </c>
      <c r="B46" s="147">
        <v>713</v>
      </c>
      <c r="C46" s="151" t="s">
        <v>227</v>
      </c>
      <c r="D46" s="167">
        <v>84.162999999999997</v>
      </c>
      <c r="E46" s="167">
        <v>15.837</v>
      </c>
    </row>
    <row r="47" spans="1:5" ht="13.5">
      <c r="A47" s="145">
        <v>47</v>
      </c>
      <c r="B47" s="147">
        <v>714</v>
      </c>
      <c r="C47" s="148" t="s">
        <v>228</v>
      </c>
      <c r="D47" s="149">
        <v>89.02</v>
      </c>
      <c r="E47" s="149">
        <v>10.98</v>
      </c>
    </row>
    <row r="48" spans="1:5" ht="13.5">
      <c r="A48" s="145">
        <v>48</v>
      </c>
      <c r="B48" s="147">
        <v>304</v>
      </c>
      <c r="C48" s="148" t="s">
        <v>48</v>
      </c>
      <c r="D48" s="168">
        <v>82.611000000000004</v>
      </c>
      <c r="E48" s="168">
        <v>17.388999999999999</v>
      </c>
    </row>
    <row r="49" spans="1:5" ht="13.5">
      <c r="A49" s="145">
        <v>49</v>
      </c>
      <c r="B49" s="147">
        <v>411</v>
      </c>
      <c r="C49" s="148" t="s">
        <v>180</v>
      </c>
      <c r="D49" s="149">
        <v>93.816999999999993</v>
      </c>
      <c r="E49" s="149">
        <v>6.1829999999999998</v>
      </c>
    </row>
    <row r="50" spans="1:5" ht="13.5">
      <c r="A50" s="145">
        <v>50</v>
      </c>
      <c r="B50" s="147">
        <v>612</v>
      </c>
      <c r="C50" s="148" t="s">
        <v>110</v>
      </c>
      <c r="D50" s="149">
        <v>78.165999999999997</v>
      </c>
      <c r="E50" s="149">
        <v>21.834</v>
      </c>
    </row>
    <row r="51" spans="1:5" ht="13.5">
      <c r="A51" s="145">
        <v>51</v>
      </c>
      <c r="B51" s="150">
        <v>219</v>
      </c>
      <c r="C51" s="148" t="s">
        <v>149</v>
      </c>
      <c r="D51" s="149">
        <v>93.635000000000005</v>
      </c>
      <c r="E51" s="149">
        <v>6.3650000000000002</v>
      </c>
    </row>
    <row r="52" spans="1:5" ht="13.5">
      <c r="A52" s="145">
        <v>52</v>
      </c>
      <c r="B52" s="150">
        <v>715</v>
      </c>
      <c r="C52" s="148" t="s">
        <v>229</v>
      </c>
      <c r="D52" s="149">
        <v>84.259</v>
      </c>
      <c r="E52" s="149">
        <v>15.741</v>
      </c>
    </row>
    <row r="53" spans="1:5" ht="13.5">
      <c r="A53" s="145">
        <v>53</v>
      </c>
      <c r="B53" s="147">
        <v>222</v>
      </c>
      <c r="C53" s="148" t="s">
        <v>150</v>
      </c>
      <c r="D53" s="149">
        <v>93.429000000000002</v>
      </c>
      <c r="E53" s="149">
        <v>6.5709999999999997</v>
      </c>
    </row>
    <row r="54" spans="1:5" ht="13.5">
      <c r="A54" s="145">
        <v>54</v>
      </c>
      <c r="B54" s="147">
        <v>224</v>
      </c>
      <c r="C54" s="148" t="s">
        <v>151</v>
      </c>
      <c r="D54" s="149">
        <v>93.451999999999998</v>
      </c>
      <c r="E54" s="149">
        <v>6.548</v>
      </c>
    </row>
    <row r="55" spans="1:5" ht="13.5">
      <c r="A55" s="145">
        <v>55</v>
      </c>
      <c r="B55" s="147">
        <v>716</v>
      </c>
      <c r="C55" s="148" t="s">
        <v>230</v>
      </c>
      <c r="D55" s="149">
        <v>83.516000000000005</v>
      </c>
      <c r="E55" s="149">
        <v>16.484000000000002</v>
      </c>
    </row>
    <row r="56" spans="1:5" ht="13.5">
      <c r="A56" s="145">
        <v>56</v>
      </c>
      <c r="B56" s="147">
        <v>717</v>
      </c>
      <c r="C56" s="148" t="s">
        <v>231</v>
      </c>
      <c r="D56" s="149">
        <v>84.978999999999999</v>
      </c>
      <c r="E56" s="149">
        <v>15.021000000000001</v>
      </c>
    </row>
    <row r="57" spans="1:5" ht="13.5">
      <c r="A57" s="145">
        <v>57</v>
      </c>
      <c r="B57" s="147">
        <v>518</v>
      </c>
      <c r="C57" s="148" t="s">
        <v>202</v>
      </c>
      <c r="D57" s="149">
        <v>10.648999999999999</v>
      </c>
      <c r="E57" s="149">
        <v>89.350999999999999</v>
      </c>
    </row>
    <row r="58" spans="1:5" ht="13.5">
      <c r="A58" s="145">
        <v>58</v>
      </c>
      <c r="B58" s="147">
        <v>101</v>
      </c>
      <c r="C58" s="148" t="s">
        <v>27</v>
      </c>
      <c r="D58" s="149">
        <v>89.908000000000001</v>
      </c>
      <c r="E58" s="149">
        <v>10.092000000000001</v>
      </c>
    </row>
    <row r="59" spans="1:5" ht="13.5">
      <c r="A59" s="145">
        <v>59</v>
      </c>
      <c r="B59" s="147">
        <v>519</v>
      </c>
      <c r="C59" s="148" t="s">
        <v>88</v>
      </c>
      <c r="D59" s="149">
        <v>20.454999999999998</v>
      </c>
      <c r="E59" s="149">
        <v>79.545000000000002</v>
      </c>
    </row>
    <row r="60" spans="1:5" ht="13.5">
      <c r="A60" s="145">
        <v>60</v>
      </c>
      <c r="B60" s="147">
        <v>520</v>
      </c>
      <c r="C60" s="148" t="s">
        <v>89</v>
      </c>
      <c r="D60" s="149">
        <v>10.196</v>
      </c>
      <c r="E60" s="149">
        <v>89.804000000000002</v>
      </c>
    </row>
    <row r="61" spans="1:5" ht="13.5">
      <c r="A61" s="145">
        <v>61</v>
      </c>
      <c r="B61" s="147">
        <v>305</v>
      </c>
      <c r="C61" s="148" t="s">
        <v>49</v>
      </c>
      <c r="D61" s="149">
        <v>90.412999999999997</v>
      </c>
      <c r="E61" s="149">
        <v>9.5869999999999997</v>
      </c>
    </row>
    <row r="62" spans="1:5" ht="13.5">
      <c r="A62" s="145">
        <v>62</v>
      </c>
      <c r="B62" s="147">
        <v>226</v>
      </c>
      <c r="C62" s="148" t="s">
        <v>28</v>
      </c>
      <c r="D62" s="149">
        <v>90.313000000000002</v>
      </c>
      <c r="E62" s="149">
        <v>9.6869999999999994</v>
      </c>
    </row>
    <row r="63" spans="1:5" ht="13.5">
      <c r="A63" s="145">
        <v>63</v>
      </c>
      <c r="B63" s="147">
        <v>722</v>
      </c>
      <c r="C63" s="148" t="s">
        <v>232</v>
      </c>
      <c r="D63" s="149">
        <v>66.498999999999995</v>
      </c>
      <c r="E63" s="149">
        <v>33.500999999999998</v>
      </c>
    </row>
    <row r="64" spans="1:5" ht="13.5">
      <c r="A64" s="145">
        <v>64</v>
      </c>
      <c r="B64" s="147">
        <v>414</v>
      </c>
      <c r="C64" s="148" t="s">
        <v>181</v>
      </c>
      <c r="D64" s="149">
        <v>96.649000000000001</v>
      </c>
      <c r="E64" s="149">
        <v>3.351</v>
      </c>
    </row>
    <row r="65" spans="1:5" ht="13.5">
      <c r="A65" s="145">
        <v>65</v>
      </c>
      <c r="B65" s="147">
        <v>808</v>
      </c>
      <c r="C65" s="148" t="s">
        <v>68</v>
      </c>
      <c r="D65" s="149">
        <v>77.024000000000001</v>
      </c>
      <c r="E65" s="149">
        <v>22.975999999999999</v>
      </c>
    </row>
    <row r="66" spans="1:5" ht="13.5">
      <c r="A66" s="145">
        <v>66</v>
      </c>
      <c r="B66" s="147">
        <v>227</v>
      </c>
      <c r="C66" s="148" t="s">
        <v>29</v>
      </c>
      <c r="D66" s="149">
        <v>90.364000000000004</v>
      </c>
      <c r="E66" s="149">
        <v>9.6359999999999992</v>
      </c>
    </row>
    <row r="67" spans="1:5" ht="13.5">
      <c r="A67" s="145">
        <v>67</v>
      </c>
      <c r="B67" s="147">
        <v>619</v>
      </c>
      <c r="C67" s="148" t="s">
        <v>111</v>
      </c>
      <c r="D67" s="149">
        <v>92.667000000000002</v>
      </c>
      <c r="E67" s="149">
        <v>7.3330000000000002</v>
      </c>
    </row>
    <row r="68" spans="1:5" ht="13.5">
      <c r="A68" s="145">
        <v>68</v>
      </c>
      <c r="B68" s="150">
        <v>521</v>
      </c>
      <c r="C68" s="148" t="s">
        <v>90</v>
      </c>
      <c r="D68" s="149">
        <v>31.033999999999999</v>
      </c>
      <c r="E68" s="149">
        <v>68.965999999999994</v>
      </c>
    </row>
    <row r="69" spans="1:5" ht="13.5">
      <c r="A69" s="145">
        <v>69</v>
      </c>
      <c r="B69" s="147">
        <v>229</v>
      </c>
      <c r="C69" s="148" t="s">
        <v>30</v>
      </c>
      <c r="D69" s="149">
        <v>92.191999999999993</v>
      </c>
      <c r="E69" s="149">
        <v>7.8079999999999998</v>
      </c>
    </row>
    <row r="70" spans="1:5" ht="13.5">
      <c r="A70" s="145">
        <v>70</v>
      </c>
      <c r="B70" s="147">
        <v>415</v>
      </c>
      <c r="C70" s="148" t="s">
        <v>182</v>
      </c>
      <c r="D70" s="149">
        <v>93.2</v>
      </c>
      <c r="E70" s="149">
        <v>6.8</v>
      </c>
    </row>
    <row r="71" spans="1:5" ht="13.5">
      <c r="A71" s="145">
        <v>71</v>
      </c>
      <c r="B71" s="147">
        <v>522</v>
      </c>
      <c r="C71" s="148" t="s">
        <v>91</v>
      </c>
      <c r="D71" s="149">
        <v>66.009</v>
      </c>
      <c r="E71" s="149">
        <v>33.991</v>
      </c>
    </row>
    <row r="72" spans="1:5" ht="13.5">
      <c r="A72" s="145">
        <v>72</v>
      </c>
      <c r="B72" s="147">
        <v>262</v>
      </c>
      <c r="C72" s="148" t="s">
        <v>31</v>
      </c>
      <c r="D72" s="149">
        <v>92.052000000000007</v>
      </c>
      <c r="E72" s="149">
        <v>7.9480000000000004</v>
      </c>
    </row>
    <row r="73" spans="1:5" ht="13.5">
      <c r="A73" s="145">
        <v>73</v>
      </c>
      <c r="B73" s="147">
        <v>417</v>
      </c>
      <c r="C73" s="148" t="s">
        <v>183</v>
      </c>
      <c r="D73" s="149">
        <v>89.975999999999999</v>
      </c>
      <c r="E73" s="149">
        <v>10.023999999999999</v>
      </c>
    </row>
    <row r="74" spans="1:5" ht="13.5">
      <c r="A74" s="145">
        <v>74</v>
      </c>
      <c r="B74" s="147">
        <v>401</v>
      </c>
      <c r="C74" s="148" t="s">
        <v>73</v>
      </c>
      <c r="D74" s="149">
        <v>92.62</v>
      </c>
      <c r="E74" s="149">
        <v>7.38</v>
      </c>
    </row>
    <row r="75" spans="1:5" ht="13.5">
      <c r="A75" s="145">
        <v>75</v>
      </c>
      <c r="B75" s="147">
        <v>541</v>
      </c>
      <c r="C75" s="148" t="s">
        <v>92</v>
      </c>
      <c r="D75" s="149">
        <v>27.045000000000002</v>
      </c>
      <c r="E75" s="149">
        <v>72.954999999999998</v>
      </c>
    </row>
    <row r="76" spans="1:5" ht="13.5">
      <c r="A76" s="145">
        <v>76</v>
      </c>
      <c r="B76" s="147">
        <v>306</v>
      </c>
      <c r="C76" s="148" t="s">
        <v>50</v>
      </c>
      <c r="D76" s="149">
        <v>74.254000000000005</v>
      </c>
      <c r="E76" s="149">
        <v>25.745999999999999</v>
      </c>
    </row>
    <row r="77" spans="1:5" ht="13.5">
      <c r="A77" s="145">
        <v>77</v>
      </c>
      <c r="B77" s="147">
        <v>418</v>
      </c>
      <c r="C77" s="148" t="s">
        <v>184</v>
      </c>
      <c r="D77" s="149">
        <v>95.137</v>
      </c>
      <c r="E77" s="149">
        <v>4.8630000000000004</v>
      </c>
    </row>
    <row r="78" spans="1:5" ht="13.5">
      <c r="A78" s="145">
        <v>78</v>
      </c>
      <c r="B78" s="147">
        <v>524</v>
      </c>
      <c r="C78" s="148" t="s">
        <v>93</v>
      </c>
      <c r="D78" s="149">
        <v>18.071999999999999</v>
      </c>
      <c r="E78" s="149">
        <v>81.927999999999997</v>
      </c>
    </row>
    <row r="79" spans="1:5" ht="13.5">
      <c r="A79" s="145">
        <v>79</v>
      </c>
      <c r="B79" s="147">
        <v>525</v>
      </c>
      <c r="C79" s="148" t="s">
        <v>94</v>
      </c>
      <c r="D79" s="149">
        <v>19.501000000000001</v>
      </c>
      <c r="E79" s="149">
        <v>80.498999999999995</v>
      </c>
    </row>
    <row r="80" spans="1:5" ht="13.5">
      <c r="A80" s="145">
        <v>80</v>
      </c>
      <c r="B80" s="147">
        <v>526</v>
      </c>
      <c r="C80" s="148" t="s">
        <v>95</v>
      </c>
      <c r="D80" s="149">
        <v>59.216999999999999</v>
      </c>
      <c r="E80" s="149">
        <v>40.783000000000001</v>
      </c>
    </row>
    <row r="81" spans="1:5" ht="13.5">
      <c r="A81" s="145">
        <v>81</v>
      </c>
      <c r="B81" s="147">
        <v>263</v>
      </c>
      <c r="C81" s="148" t="s">
        <v>142</v>
      </c>
      <c r="D81" s="149">
        <v>93.686000000000007</v>
      </c>
      <c r="E81" s="149">
        <v>6.3140000000000001</v>
      </c>
    </row>
    <row r="82" spans="1:5" ht="13.5">
      <c r="A82" s="145">
        <v>82</v>
      </c>
      <c r="B82" s="147">
        <v>656</v>
      </c>
      <c r="C82" s="148" t="s">
        <v>214</v>
      </c>
      <c r="D82" s="149">
        <v>93.888000000000005</v>
      </c>
      <c r="E82" s="149">
        <v>6.1120000000000001</v>
      </c>
    </row>
    <row r="83" spans="1:5" ht="13.5">
      <c r="A83" s="145">
        <v>83</v>
      </c>
      <c r="B83" s="147">
        <v>429</v>
      </c>
      <c r="C83" s="151" t="s">
        <v>190</v>
      </c>
      <c r="D83" s="167">
        <v>95.637</v>
      </c>
      <c r="E83" s="167">
        <v>4.3630000000000004</v>
      </c>
    </row>
    <row r="84" spans="1:5" ht="13.5">
      <c r="A84" s="145">
        <v>84</v>
      </c>
      <c r="B84" s="147">
        <v>264</v>
      </c>
      <c r="C84" s="151" t="s">
        <v>276</v>
      </c>
      <c r="D84" s="149">
        <v>91.292000000000002</v>
      </c>
      <c r="E84" s="149">
        <v>8.7080000000000002</v>
      </c>
    </row>
    <row r="85" spans="1:5" ht="13.5">
      <c r="A85" s="145">
        <v>85</v>
      </c>
      <c r="B85" s="147">
        <v>818</v>
      </c>
      <c r="C85" s="151" t="s">
        <v>208</v>
      </c>
      <c r="D85" s="149">
        <v>93.596000000000004</v>
      </c>
      <c r="E85" s="149">
        <v>6.4039999999999999</v>
      </c>
    </row>
    <row r="86" spans="1:5" ht="13.5">
      <c r="A86" s="145">
        <v>86</v>
      </c>
      <c r="B86" s="147">
        <v>607</v>
      </c>
      <c r="C86" s="148" t="s">
        <v>108</v>
      </c>
      <c r="D86" s="168">
        <v>98.088999999999999</v>
      </c>
      <c r="E86" s="168">
        <v>1.911</v>
      </c>
    </row>
    <row r="87" spans="1:5" ht="13.5">
      <c r="A87" s="145">
        <v>87</v>
      </c>
      <c r="B87" s="147">
        <v>817</v>
      </c>
      <c r="C87" s="148" t="s">
        <v>274</v>
      </c>
      <c r="D87" s="149">
        <v>89.825999999999993</v>
      </c>
      <c r="E87" s="149">
        <v>10.173999999999999</v>
      </c>
    </row>
    <row r="88" spans="1:5" ht="13.5">
      <c r="A88" s="145">
        <v>88</v>
      </c>
      <c r="B88" s="147">
        <v>252</v>
      </c>
      <c r="C88" s="148" t="s">
        <v>76</v>
      </c>
      <c r="D88" s="149">
        <v>97.304000000000002</v>
      </c>
      <c r="E88" s="149">
        <v>2.6960000000000002</v>
      </c>
    </row>
    <row r="89" spans="1:5" ht="13.5">
      <c r="A89" s="145">
        <v>89</v>
      </c>
      <c r="B89" s="147">
        <v>249</v>
      </c>
      <c r="C89" s="148" t="s">
        <v>74</v>
      </c>
      <c r="D89" s="149">
        <v>94.638000000000005</v>
      </c>
      <c r="E89" s="149">
        <v>5.3620000000000001</v>
      </c>
    </row>
    <row r="90" spans="1:5" ht="13.5">
      <c r="A90" s="145">
        <v>90</v>
      </c>
      <c r="B90" s="147">
        <v>425</v>
      </c>
      <c r="C90" s="148" t="s">
        <v>187</v>
      </c>
      <c r="D90" s="149">
        <v>91.063000000000002</v>
      </c>
      <c r="E90" s="149">
        <v>8.9369999999999994</v>
      </c>
    </row>
    <row r="91" spans="1:5" ht="13.5">
      <c r="A91" s="145">
        <v>91</v>
      </c>
      <c r="B91" s="147">
        <v>724</v>
      </c>
      <c r="C91" s="148" t="s">
        <v>233</v>
      </c>
      <c r="D91" s="149">
        <v>87.558000000000007</v>
      </c>
      <c r="E91" s="149">
        <v>12.442</v>
      </c>
    </row>
    <row r="92" spans="1:5" ht="13.5">
      <c r="A92" s="145">
        <v>92</v>
      </c>
      <c r="B92" s="147">
        <v>750</v>
      </c>
      <c r="C92" s="151" t="s">
        <v>273</v>
      </c>
      <c r="D92" s="149">
        <v>85.905000000000001</v>
      </c>
      <c r="E92" s="149">
        <v>14.095000000000001</v>
      </c>
    </row>
    <row r="93" spans="1:5" ht="13.5">
      <c r="A93" s="145">
        <v>93</v>
      </c>
      <c r="B93" s="147">
        <v>725</v>
      </c>
      <c r="C93" s="148" t="s">
        <v>234</v>
      </c>
      <c r="D93" s="149">
        <v>80.070999999999998</v>
      </c>
      <c r="E93" s="149">
        <v>19.928999999999998</v>
      </c>
    </row>
    <row r="94" spans="1:5" ht="13.5">
      <c r="A94" s="145">
        <v>94</v>
      </c>
      <c r="B94" s="147">
        <v>530</v>
      </c>
      <c r="C94" s="148" t="s">
        <v>96</v>
      </c>
      <c r="D94" s="149">
        <v>7.1429999999999998</v>
      </c>
      <c r="E94" s="149">
        <v>92.856999999999999</v>
      </c>
    </row>
    <row r="95" spans="1:5" ht="13.5">
      <c r="A95" s="145">
        <v>95</v>
      </c>
      <c r="B95" s="147">
        <v>235</v>
      </c>
      <c r="C95" s="148" t="s">
        <v>32</v>
      </c>
      <c r="D95" s="149">
        <v>89.13</v>
      </c>
      <c r="E95" s="149">
        <v>10.87</v>
      </c>
    </row>
    <row r="96" spans="1:5" ht="13.5">
      <c r="A96" s="145">
        <v>96</v>
      </c>
      <c r="B96" s="147">
        <v>420</v>
      </c>
      <c r="C96" s="148" t="s">
        <v>185</v>
      </c>
      <c r="D96" s="149">
        <v>93.671000000000006</v>
      </c>
      <c r="E96" s="149">
        <v>6.3289999999999997</v>
      </c>
    </row>
    <row r="97" spans="1:5" ht="13.5">
      <c r="A97" s="145">
        <v>97</v>
      </c>
      <c r="B97" s="147">
        <v>626</v>
      </c>
      <c r="C97" s="148" t="s">
        <v>112</v>
      </c>
      <c r="D97" s="149">
        <v>98.337999999999994</v>
      </c>
      <c r="E97" s="149">
        <v>1.6619999999999999</v>
      </c>
    </row>
    <row r="98" spans="1:5" ht="13.5">
      <c r="A98" s="145">
        <v>98</v>
      </c>
      <c r="B98" s="147">
        <v>237</v>
      </c>
      <c r="C98" s="151" t="s">
        <v>33</v>
      </c>
      <c r="D98" s="167">
        <v>92.376999999999995</v>
      </c>
      <c r="E98" s="167">
        <v>7.6230000000000002</v>
      </c>
    </row>
    <row r="99" spans="1:5" ht="13.5">
      <c r="A99" s="145">
        <v>99</v>
      </c>
      <c r="B99" s="147">
        <v>727</v>
      </c>
      <c r="C99" s="151" t="s">
        <v>235</v>
      </c>
      <c r="D99" s="167">
        <v>87.037000000000006</v>
      </c>
      <c r="E99" s="167">
        <v>12.962999999999999</v>
      </c>
    </row>
    <row r="100" spans="1:5" ht="13.5">
      <c r="A100" s="145">
        <v>100</v>
      </c>
      <c r="B100" s="147">
        <v>531</v>
      </c>
      <c r="C100" s="148" t="s">
        <v>97</v>
      </c>
      <c r="D100" s="149">
        <v>30.341999999999999</v>
      </c>
      <c r="E100" s="149">
        <v>69.658000000000001</v>
      </c>
    </row>
    <row r="101" spans="1:5" ht="13.5">
      <c r="A101" s="145">
        <v>101</v>
      </c>
      <c r="B101" s="147">
        <v>627</v>
      </c>
      <c r="C101" s="148" t="s">
        <v>113</v>
      </c>
      <c r="D101" s="168">
        <v>94.887</v>
      </c>
      <c r="E101" s="168">
        <v>5.1130000000000004</v>
      </c>
    </row>
    <row r="102" spans="1:5" ht="13.5">
      <c r="A102" s="145">
        <v>102</v>
      </c>
      <c r="B102" s="147">
        <v>532</v>
      </c>
      <c r="C102" s="148" t="s">
        <v>98</v>
      </c>
      <c r="D102" s="165">
        <v>88.950999999999993</v>
      </c>
      <c r="E102" s="165">
        <v>11.048999999999999</v>
      </c>
    </row>
    <row r="103" spans="1:5" ht="13.5">
      <c r="A103" s="145">
        <v>103</v>
      </c>
      <c r="B103" s="147">
        <v>729</v>
      </c>
      <c r="C103" s="148" t="s">
        <v>236</v>
      </c>
      <c r="D103" s="149">
        <v>88.852999999999994</v>
      </c>
      <c r="E103" s="149">
        <v>11.147</v>
      </c>
    </row>
    <row r="104" spans="1:5" ht="13.5">
      <c r="A104" s="145">
        <v>104</v>
      </c>
      <c r="B104" s="147">
        <v>629</v>
      </c>
      <c r="C104" s="148" t="s">
        <v>209</v>
      </c>
      <c r="D104" s="149">
        <v>72.257999999999996</v>
      </c>
      <c r="E104" s="149">
        <v>27.742000000000001</v>
      </c>
    </row>
    <row r="105" spans="1:5" ht="13.5">
      <c r="A105" s="145">
        <v>105</v>
      </c>
      <c r="B105" s="147">
        <v>733</v>
      </c>
      <c r="C105" s="148" t="s">
        <v>237</v>
      </c>
      <c r="D105" s="149">
        <v>79.63</v>
      </c>
      <c r="E105" s="149">
        <v>20.37</v>
      </c>
    </row>
    <row r="106" spans="1:5" ht="13.5">
      <c r="A106" s="145">
        <v>106</v>
      </c>
      <c r="B106" s="147">
        <v>423</v>
      </c>
      <c r="C106" s="148" t="s">
        <v>186</v>
      </c>
      <c r="D106" s="149">
        <v>93.677000000000007</v>
      </c>
      <c r="E106" s="149">
        <v>6.3230000000000004</v>
      </c>
    </row>
    <row r="107" spans="1:5" ht="13.5">
      <c r="A107" s="145">
        <v>107</v>
      </c>
      <c r="B107" s="147">
        <v>534</v>
      </c>
      <c r="C107" s="148" t="s">
        <v>99</v>
      </c>
      <c r="D107" s="149">
        <v>29.593</v>
      </c>
      <c r="E107" s="149">
        <v>70.406999999999996</v>
      </c>
    </row>
    <row r="108" spans="1:5" ht="13.5">
      <c r="A108" s="145">
        <v>108</v>
      </c>
      <c r="B108" s="147">
        <v>734</v>
      </c>
      <c r="C108" s="148" t="s">
        <v>238</v>
      </c>
      <c r="D108" s="149">
        <v>76.762</v>
      </c>
      <c r="E108" s="149">
        <v>23.238</v>
      </c>
    </row>
    <row r="109" spans="1:5" ht="13.5">
      <c r="A109" s="145">
        <v>109</v>
      </c>
      <c r="B109" s="147">
        <v>535</v>
      </c>
      <c r="C109" s="148" t="s">
        <v>100</v>
      </c>
      <c r="D109" s="149">
        <v>38.630000000000003</v>
      </c>
      <c r="E109" s="149">
        <v>61.37</v>
      </c>
    </row>
    <row r="110" spans="1:5" ht="13.5">
      <c r="A110" s="145">
        <v>110</v>
      </c>
      <c r="B110" s="150">
        <v>240</v>
      </c>
      <c r="C110" s="148" t="s">
        <v>34</v>
      </c>
      <c r="D110" s="149">
        <v>91.516000000000005</v>
      </c>
      <c r="E110" s="149">
        <v>8.484</v>
      </c>
    </row>
    <row r="111" spans="1:5" ht="13.5">
      <c r="A111" s="145">
        <v>111</v>
      </c>
      <c r="B111" s="147">
        <v>242</v>
      </c>
      <c r="C111" s="148" t="s">
        <v>35</v>
      </c>
      <c r="D111" s="149">
        <v>90.807000000000002</v>
      </c>
      <c r="E111" s="149">
        <v>9.1929999999999996</v>
      </c>
    </row>
    <row r="112" spans="1:5" ht="13.5">
      <c r="A112" s="145">
        <v>112</v>
      </c>
      <c r="B112" s="147">
        <v>735</v>
      </c>
      <c r="C112" s="148" t="s">
        <v>239</v>
      </c>
      <c r="D112" s="149">
        <v>86.923000000000002</v>
      </c>
      <c r="E112" s="149">
        <v>13.077</v>
      </c>
    </row>
    <row r="113" spans="1:5" ht="13.5">
      <c r="A113" s="145">
        <v>113</v>
      </c>
      <c r="B113" s="147">
        <v>308</v>
      </c>
      <c r="C113" s="148" t="s">
        <v>51</v>
      </c>
      <c r="D113" s="149">
        <v>93.182000000000002</v>
      </c>
      <c r="E113" s="149">
        <v>6.8179999999999996</v>
      </c>
    </row>
    <row r="114" spans="1:5" ht="13.5">
      <c r="A114" s="145">
        <v>114</v>
      </c>
      <c r="B114" s="147">
        <v>245</v>
      </c>
      <c r="C114" s="148" t="s">
        <v>36</v>
      </c>
      <c r="D114" s="149">
        <v>75.968999999999994</v>
      </c>
      <c r="E114" s="149">
        <v>24.030999999999999</v>
      </c>
    </row>
    <row r="115" spans="1:5" ht="13.5">
      <c r="A115" s="145">
        <v>115</v>
      </c>
      <c r="B115" s="147">
        <v>309</v>
      </c>
      <c r="C115" s="151" t="s">
        <v>52</v>
      </c>
      <c r="D115" s="149">
        <v>90.147000000000006</v>
      </c>
      <c r="E115" s="149">
        <v>9.8529999999999998</v>
      </c>
    </row>
    <row r="116" spans="1:5" ht="13.5">
      <c r="A116" s="145">
        <v>116</v>
      </c>
      <c r="B116" s="147">
        <v>310</v>
      </c>
      <c r="C116" s="148" t="s">
        <v>53</v>
      </c>
      <c r="D116" s="149">
        <v>91.715000000000003</v>
      </c>
      <c r="E116" s="149">
        <v>8.2850000000000001</v>
      </c>
    </row>
    <row r="117" spans="1:5" ht="13.5">
      <c r="A117" s="145">
        <v>117</v>
      </c>
      <c r="B117" s="147">
        <v>402</v>
      </c>
      <c r="C117" s="148" t="s">
        <v>75</v>
      </c>
      <c r="D117" s="149">
        <v>91.581000000000003</v>
      </c>
      <c r="E117" s="149">
        <v>8.4190000000000005</v>
      </c>
    </row>
    <row r="118" spans="1:5" ht="13.5">
      <c r="A118" s="145">
        <v>118</v>
      </c>
      <c r="B118" s="147">
        <v>246</v>
      </c>
      <c r="C118" s="148" t="s">
        <v>37</v>
      </c>
      <c r="D118" s="149">
        <v>90.174999999999997</v>
      </c>
      <c r="E118" s="149">
        <v>9.8249999999999993</v>
      </c>
    </row>
    <row r="119" spans="1:5" ht="13.5">
      <c r="A119" s="145">
        <v>119</v>
      </c>
      <c r="B119" s="147">
        <v>427</v>
      </c>
      <c r="C119" s="148" t="s">
        <v>188</v>
      </c>
      <c r="D119" s="149">
        <v>96.617999999999995</v>
      </c>
      <c r="E119" s="149">
        <v>3.3820000000000001</v>
      </c>
    </row>
    <row r="120" spans="1:5" ht="13.5">
      <c r="A120" s="145">
        <v>120</v>
      </c>
      <c r="B120" s="147">
        <v>738</v>
      </c>
      <c r="C120" s="148" t="s">
        <v>240</v>
      </c>
      <c r="D120" s="149">
        <v>59.573999999999998</v>
      </c>
      <c r="E120" s="149">
        <v>40.426000000000002</v>
      </c>
    </row>
    <row r="121" spans="1:5" ht="13.5">
      <c r="A121" s="145">
        <v>121</v>
      </c>
      <c r="B121" s="147">
        <v>250</v>
      </c>
      <c r="C121" s="148" t="s">
        <v>38</v>
      </c>
      <c r="D121" s="149">
        <v>90.45</v>
      </c>
      <c r="E121" s="149">
        <v>9.5500000000000007</v>
      </c>
    </row>
    <row r="122" spans="1:5" ht="13.5">
      <c r="A122" s="145">
        <v>122</v>
      </c>
      <c r="B122" s="147">
        <v>311</v>
      </c>
      <c r="C122" s="148" t="s">
        <v>54</v>
      </c>
      <c r="D122" s="149">
        <v>85.728999999999999</v>
      </c>
      <c r="E122" s="149">
        <v>14.271000000000001</v>
      </c>
    </row>
    <row r="123" spans="1:5" ht="13.5">
      <c r="A123" s="145">
        <v>123</v>
      </c>
      <c r="B123" s="147">
        <v>813</v>
      </c>
      <c r="C123" s="148" t="s">
        <v>69</v>
      </c>
      <c r="D123" s="149">
        <v>87.578999999999994</v>
      </c>
      <c r="E123" s="149">
        <v>12.420999999999999</v>
      </c>
    </row>
    <row r="124" spans="1:5" ht="13.5">
      <c r="A124" s="145">
        <v>124</v>
      </c>
      <c r="B124" s="147">
        <v>428</v>
      </c>
      <c r="C124" s="148" t="s">
        <v>189</v>
      </c>
      <c r="D124" s="149">
        <v>95.048000000000002</v>
      </c>
      <c r="E124" s="149">
        <v>4.952</v>
      </c>
    </row>
    <row r="125" spans="1:5" ht="13.5">
      <c r="A125" s="145">
        <v>125</v>
      </c>
      <c r="B125" s="147">
        <v>536</v>
      </c>
      <c r="C125" s="148" t="s">
        <v>118</v>
      </c>
      <c r="D125" s="149">
        <v>17.021000000000001</v>
      </c>
      <c r="E125" s="149">
        <v>82.978999999999999</v>
      </c>
    </row>
    <row r="126" spans="1:5" ht="13.5">
      <c r="A126" s="145">
        <v>126</v>
      </c>
      <c r="B126" s="147">
        <v>636</v>
      </c>
      <c r="C126" s="148" t="s">
        <v>114</v>
      </c>
      <c r="D126" s="149">
        <v>91.799000000000007</v>
      </c>
      <c r="E126" s="149">
        <v>8.2010000000000005</v>
      </c>
    </row>
    <row r="127" spans="1:5" ht="13.5">
      <c r="A127" s="145">
        <v>127</v>
      </c>
      <c r="B127" s="147">
        <v>251</v>
      </c>
      <c r="C127" s="148" t="s">
        <v>39</v>
      </c>
      <c r="D127" s="149">
        <v>94.608000000000004</v>
      </c>
      <c r="E127" s="149">
        <v>5.3920000000000003</v>
      </c>
    </row>
    <row r="128" spans="1:5" ht="13.5">
      <c r="A128" s="145">
        <v>128</v>
      </c>
      <c r="B128" s="147">
        <v>637</v>
      </c>
      <c r="C128" s="148" t="s">
        <v>115</v>
      </c>
      <c r="D128" s="149">
        <v>85.19</v>
      </c>
      <c r="E128" s="149">
        <v>14.81</v>
      </c>
    </row>
    <row r="129" spans="1:5" ht="13.5">
      <c r="A129" s="145">
        <v>129</v>
      </c>
      <c r="B129" s="147">
        <v>739</v>
      </c>
      <c r="C129" s="148" t="s">
        <v>57</v>
      </c>
      <c r="D129" s="149">
        <v>87.558000000000007</v>
      </c>
      <c r="E129" s="149">
        <v>12.442</v>
      </c>
    </row>
    <row r="130" spans="1:5" ht="13.5">
      <c r="A130" s="145">
        <v>130</v>
      </c>
      <c r="B130" s="147">
        <v>740</v>
      </c>
      <c r="C130" s="151" t="s">
        <v>58</v>
      </c>
      <c r="D130" s="166">
        <v>90.909000000000006</v>
      </c>
      <c r="E130" s="166">
        <v>9.0909999999999993</v>
      </c>
    </row>
    <row r="131" spans="1:5" ht="13.5">
      <c r="A131" s="145">
        <v>131</v>
      </c>
      <c r="B131" s="147">
        <v>432</v>
      </c>
      <c r="C131" s="148" t="s">
        <v>210</v>
      </c>
      <c r="D131" s="149">
        <v>97.093999999999994</v>
      </c>
      <c r="E131" s="149">
        <v>2.9060000000000001</v>
      </c>
    </row>
    <row r="132" spans="1:5" ht="13.5">
      <c r="A132" s="145">
        <v>132</v>
      </c>
      <c r="B132" s="147">
        <v>537</v>
      </c>
      <c r="C132" s="148" t="s">
        <v>101</v>
      </c>
      <c r="D132" s="149">
        <v>15.044</v>
      </c>
      <c r="E132" s="149">
        <v>84.956000000000003</v>
      </c>
    </row>
    <row r="133" spans="1:5" ht="13.5">
      <c r="A133" s="145">
        <v>133</v>
      </c>
      <c r="B133" s="147">
        <v>315</v>
      </c>
      <c r="C133" s="148" t="s">
        <v>166</v>
      </c>
      <c r="D133" s="165">
        <v>81.317999999999998</v>
      </c>
      <c r="E133" s="165">
        <v>18.681999999999999</v>
      </c>
    </row>
    <row r="134" spans="1:5" ht="13.5">
      <c r="A134" s="145">
        <v>134</v>
      </c>
      <c r="B134" s="147">
        <v>816</v>
      </c>
      <c r="C134" s="148" t="s">
        <v>71</v>
      </c>
      <c r="D134" s="149">
        <v>91.081000000000003</v>
      </c>
      <c r="E134" s="149">
        <v>8.9190000000000005</v>
      </c>
    </row>
    <row r="135" spans="1:5" ht="13.5">
      <c r="A135" s="145">
        <v>135</v>
      </c>
      <c r="B135" s="147">
        <v>254</v>
      </c>
      <c r="C135" s="148" t="s">
        <v>40</v>
      </c>
      <c r="D135" s="149">
        <v>95.283000000000001</v>
      </c>
      <c r="E135" s="149">
        <v>4.7169999999999996</v>
      </c>
    </row>
    <row r="136" spans="1:5" ht="13.5">
      <c r="A136" s="145">
        <v>136</v>
      </c>
      <c r="B136" s="147">
        <v>743</v>
      </c>
      <c r="C136" s="148" t="s">
        <v>60</v>
      </c>
      <c r="D136" s="149">
        <v>84.090999999999994</v>
      </c>
      <c r="E136" s="149">
        <v>15.909000000000001</v>
      </c>
    </row>
    <row r="137" spans="1:5" ht="13.5">
      <c r="A137" s="145">
        <v>137</v>
      </c>
      <c r="B137" s="147">
        <v>639</v>
      </c>
      <c r="C137" s="148" t="s">
        <v>116</v>
      </c>
      <c r="D137" s="149">
        <v>94.191999999999993</v>
      </c>
      <c r="E137" s="149">
        <v>5.8079999999999998</v>
      </c>
    </row>
    <row r="138" spans="1:5" ht="13.5">
      <c r="A138" s="145">
        <v>138</v>
      </c>
      <c r="B138" s="147">
        <v>433</v>
      </c>
      <c r="C138" s="148" t="s">
        <v>191</v>
      </c>
      <c r="D138" s="149">
        <v>95.617999999999995</v>
      </c>
      <c r="E138" s="149">
        <v>4.3819999999999997</v>
      </c>
    </row>
    <row r="139" spans="1:5" ht="13.5">
      <c r="A139" s="145">
        <v>139</v>
      </c>
      <c r="B139" s="150">
        <v>312</v>
      </c>
      <c r="C139" s="148" t="s">
        <v>55</v>
      </c>
      <c r="D139" s="149">
        <v>81.436000000000007</v>
      </c>
      <c r="E139" s="149">
        <v>18.564</v>
      </c>
    </row>
    <row r="140" spans="1:5" ht="13.5">
      <c r="A140" s="145">
        <v>140</v>
      </c>
      <c r="B140" s="147">
        <v>313</v>
      </c>
      <c r="C140" s="148" t="s">
        <v>56</v>
      </c>
      <c r="D140" s="149">
        <v>92.686000000000007</v>
      </c>
      <c r="E140" s="149">
        <v>7.3140000000000001</v>
      </c>
    </row>
    <row r="141" spans="1:5" ht="13.5">
      <c r="A141" s="145">
        <v>141</v>
      </c>
      <c r="B141" s="147">
        <v>314</v>
      </c>
      <c r="C141" s="148" t="s">
        <v>165</v>
      </c>
      <c r="D141" s="149">
        <v>82.331999999999994</v>
      </c>
      <c r="E141" s="149">
        <v>17.667999999999999</v>
      </c>
    </row>
    <row r="142" spans="1:5" ht="13.5">
      <c r="A142" s="145">
        <v>142</v>
      </c>
      <c r="B142" s="147">
        <v>741</v>
      </c>
      <c r="C142" s="148" t="s">
        <v>59</v>
      </c>
      <c r="D142" s="149">
        <v>81.781999999999996</v>
      </c>
      <c r="E142" s="149">
        <v>18.218</v>
      </c>
    </row>
    <row r="143" spans="1:5" ht="13.5">
      <c r="A143" s="145">
        <v>143</v>
      </c>
      <c r="B143" s="147">
        <v>815</v>
      </c>
      <c r="C143" s="148" t="s">
        <v>70</v>
      </c>
      <c r="D143" s="149">
        <v>83.459000000000003</v>
      </c>
      <c r="E143" s="149">
        <v>16.541</v>
      </c>
    </row>
    <row r="144" spans="1:5" ht="13.5">
      <c r="A144" s="145">
        <v>144</v>
      </c>
      <c r="B144" s="147">
        <v>744</v>
      </c>
      <c r="C144" s="148" t="s">
        <v>61</v>
      </c>
      <c r="D144" s="149">
        <v>83.399000000000001</v>
      </c>
      <c r="E144" s="149">
        <v>16.600999999999999</v>
      </c>
    </row>
    <row r="145" spans="1:5" ht="13.5">
      <c r="A145" s="145">
        <v>145</v>
      </c>
      <c r="B145" s="147">
        <v>316</v>
      </c>
      <c r="C145" s="148" t="s">
        <v>167</v>
      </c>
      <c r="D145" s="149">
        <v>88.087999999999994</v>
      </c>
      <c r="E145" s="149">
        <v>11.912000000000001</v>
      </c>
    </row>
    <row r="146" spans="1:5" ht="13.5">
      <c r="A146" s="145">
        <v>146</v>
      </c>
      <c r="B146" s="147">
        <v>317</v>
      </c>
      <c r="C146" s="148" t="s">
        <v>168</v>
      </c>
      <c r="D146" s="149">
        <v>90.613</v>
      </c>
      <c r="E146" s="149">
        <v>9.3870000000000005</v>
      </c>
    </row>
    <row r="147" spans="1:5" ht="13.5">
      <c r="A147" s="145">
        <v>147</v>
      </c>
      <c r="B147" s="147">
        <v>641</v>
      </c>
      <c r="C147" s="148" t="s">
        <v>211</v>
      </c>
      <c r="D147" s="149">
        <v>91.126000000000005</v>
      </c>
      <c r="E147" s="149">
        <v>8.8740000000000006</v>
      </c>
    </row>
    <row r="148" spans="1:5" ht="13.5">
      <c r="A148" s="145">
        <v>148</v>
      </c>
      <c r="B148" s="147">
        <v>255</v>
      </c>
      <c r="C148" s="148" t="s">
        <v>41</v>
      </c>
      <c r="D148" s="149">
        <v>96.787999999999997</v>
      </c>
      <c r="E148" s="149">
        <v>3.2120000000000002</v>
      </c>
    </row>
    <row r="149" spans="1:5" ht="13.5">
      <c r="A149" s="145">
        <v>149</v>
      </c>
      <c r="B149" s="147">
        <v>318</v>
      </c>
      <c r="C149" s="148" t="s">
        <v>169</v>
      </c>
      <c r="D149" s="149">
        <v>66.649000000000001</v>
      </c>
      <c r="E149" s="149">
        <v>33.350999999999999</v>
      </c>
    </row>
    <row r="150" spans="1:5" ht="13.5">
      <c r="A150" s="145">
        <v>150</v>
      </c>
      <c r="B150" s="147">
        <v>538</v>
      </c>
      <c r="C150" s="148" t="s">
        <v>102</v>
      </c>
      <c r="D150" s="149">
        <v>12.42</v>
      </c>
      <c r="E150" s="149">
        <v>87.58</v>
      </c>
    </row>
    <row r="151" spans="1:5" ht="13.5">
      <c r="A151" s="145">
        <v>151</v>
      </c>
      <c r="B151" s="147">
        <v>642</v>
      </c>
      <c r="C151" s="148" t="s">
        <v>117</v>
      </c>
      <c r="D151" s="149">
        <v>87.688000000000002</v>
      </c>
      <c r="E151" s="149">
        <v>12.311999999999999</v>
      </c>
    </row>
    <row r="152" spans="1:5" ht="13.5">
      <c r="A152" s="145">
        <v>152</v>
      </c>
      <c r="B152" s="147">
        <v>745</v>
      </c>
      <c r="C152" s="148" t="s">
        <v>62</v>
      </c>
      <c r="D152" s="149">
        <v>76.293000000000006</v>
      </c>
      <c r="E152" s="149">
        <v>23.707000000000001</v>
      </c>
    </row>
    <row r="153" spans="1:5" ht="13.5">
      <c r="A153" s="145">
        <v>153</v>
      </c>
      <c r="B153" s="147">
        <v>435</v>
      </c>
      <c r="C153" s="148" t="s">
        <v>192</v>
      </c>
      <c r="D153" s="149">
        <v>95.828000000000003</v>
      </c>
      <c r="E153" s="149">
        <v>4.1719999999999997</v>
      </c>
    </row>
    <row r="154" spans="1:5" ht="13.5">
      <c r="A154" s="145">
        <v>154</v>
      </c>
      <c r="B154" s="147">
        <v>752</v>
      </c>
      <c r="C154" s="148" t="s">
        <v>119</v>
      </c>
      <c r="D154" s="149">
        <v>85.513000000000005</v>
      </c>
      <c r="E154" s="149">
        <v>14.487</v>
      </c>
    </row>
    <row r="155" spans="1:5" ht="13.5">
      <c r="A155" s="145">
        <v>155</v>
      </c>
      <c r="B155" s="147">
        <v>539</v>
      </c>
      <c r="C155" s="148" t="s">
        <v>103</v>
      </c>
      <c r="D155" s="149">
        <v>72</v>
      </c>
      <c r="E155" s="149">
        <v>28</v>
      </c>
    </row>
    <row r="156" spans="1:5" ht="13.5">
      <c r="A156" s="145">
        <v>156</v>
      </c>
      <c r="B156" s="147">
        <v>259</v>
      </c>
      <c r="C156" s="148" t="s">
        <v>43</v>
      </c>
      <c r="D156" s="149">
        <v>92.856999999999999</v>
      </c>
      <c r="E156" s="149">
        <v>7.1429999999999998</v>
      </c>
    </row>
    <row r="157" spans="1:5" ht="13.5">
      <c r="A157" s="145">
        <v>157</v>
      </c>
      <c r="B157" s="147">
        <v>257</v>
      </c>
      <c r="C157" s="148" t="s">
        <v>42</v>
      </c>
      <c r="D157" s="149">
        <v>90.122</v>
      </c>
      <c r="E157" s="149">
        <v>9.8780000000000001</v>
      </c>
    </row>
    <row r="158" spans="1:5" ht="13.5">
      <c r="A158" s="145">
        <v>158</v>
      </c>
      <c r="B158" s="147">
        <v>439</v>
      </c>
      <c r="C158" s="148" t="s">
        <v>193</v>
      </c>
      <c r="D158" s="149">
        <v>95.081999999999994</v>
      </c>
      <c r="E158" s="149">
        <v>4.9180000000000001</v>
      </c>
    </row>
    <row r="159" spans="1:5" ht="13.5">
      <c r="A159" s="145">
        <v>159</v>
      </c>
      <c r="B159" s="147">
        <v>651</v>
      </c>
      <c r="C159" s="148" t="s">
        <v>217</v>
      </c>
      <c r="D159" s="149">
        <v>93.284000000000006</v>
      </c>
      <c r="E159" s="149">
        <v>6.7160000000000002</v>
      </c>
    </row>
    <row r="160" spans="1:5" ht="13.5">
      <c r="A160" s="145">
        <v>160</v>
      </c>
      <c r="B160" s="147">
        <v>747</v>
      </c>
      <c r="C160" s="148" t="s">
        <v>63</v>
      </c>
      <c r="D160" s="149">
        <v>78.899000000000001</v>
      </c>
      <c r="E160" s="149">
        <v>21.100999999999999</v>
      </c>
    </row>
    <row r="161" spans="1:5" ht="13.5">
      <c r="A161" s="145">
        <v>161</v>
      </c>
      <c r="B161" s="147">
        <v>654</v>
      </c>
      <c r="C161" s="148" t="s">
        <v>218</v>
      </c>
      <c r="D161" s="149">
        <v>90.918000000000006</v>
      </c>
      <c r="E161" s="149">
        <v>9.0820000000000007</v>
      </c>
    </row>
    <row r="162" spans="1:5" ht="13.5">
      <c r="A162" s="145">
        <v>162</v>
      </c>
      <c r="B162" s="147">
        <v>440</v>
      </c>
      <c r="C162" s="148" t="s">
        <v>194</v>
      </c>
      <c r="D162" s="149">
        <v>94.570999999999998</v>
      </c>
      <c r="E162" s="149">
        <v>5.4290000000000003</v>
      </c>
    </row>
    <row r="163" spans="1:5" ht="13.5">
      <c r="A163" s="145">
        <v>163</v>
      </c>
      <c r="B163" s="147">
        <v>652</v>
      </c>
      <c r="C163" s="148" t="s">
        <v>219</v>
      </c>
      <c r="D163" s="149">
        <v>88.683999999999997</v>
      </c>
      <c r="E163" s="149">
        <v>11.316000000000001</v>
      </c>
    </row>
    <row r="164" spans="1:5" ht="13.5">
      <c r="A164" s="145">
        <v>164</v>
      </c>
      <c r="B164" s="147">
        <v>749</v>
      </c>
      <c r="C164" s="148" t="s">
        <v>64</v>
      </c>
      <c r="D164" s="149">
        <v>75.694000000000003</v>
      </c>
      <c r="E164" s="149">
        <v>24.306000000000001</v>
      </c>
    </row>
    <row r="165" spans="1:5" ht="13.5">
      <c r="A165" s="145">
        <v>165</v>
      </c>
      <c r="B165" s="147">
        <v>653</v>
      </c>
      <c r="C165" s="148" t="s">
        <v>220</v>
      </c>
      <c r="D165" s="149">
        <v>94.521000000000001</v>
      </c>
      <c r="E165" s="149">
        <v>5.4790000000000001</v>
      </c>
    </row>
    <row r="166" spans="1:5" ht="13.5">
      <c r="A166" s="145">
        <v>166</v>
      </c>
      <c r="B166" s="147">
        <v>260</v>
      </c>
      <c r="C166" s="148" t="s">
        <v>44</v>
      </c>
      <c r="D166" s="149">
        <v>94.337000000000003</v>
      </c>
      <c r="E166" s="149">
        <v>5.6630000000000003</v>
      </c>
    </row>
    <row r="167" spans="1:5" ht="13.5">
      <c r="A167" s="145">
        <v>167</v>
      </c>
      <c r="B167" s="147">
        <v>543</v>
      </c>
      <c r="C167" s="148" t="s">
        <v>104</v>
      </c>
      <c r="D167" s="149">
        <v>67.028999999999996</v>
      </c>
      <c r="E167" s="149">
        <v>32.970999999999997</v>
      </c>
    </row>
    <row r="168" spans="1:5" ht="13.5">
      <c r="A168" s="145">
        <v>168</v>
      </c>
      <c r="B168" s="147">
        <v>319</v>
      </c>
      <c r="C168" s="148" t="s">
        <v>170</v>
      </c>
      <c r="D168" s="149">
        <v>64.057000000000002</v>
      </c>
      <c r="E168" s="149">
        <v>35.942999999999998</v>
      </c>
    </row>
    <row r="169" spans="1:5" ht="13.5">
      <c r="A169" s="145">
        <v>169</v>
      </c>
      <c r="B169" s="147">
        <v>320</v>
      </c>
      <c r="C169" s="148" t="s">
        <v>171</v>
      </c>
      <c r="D169" s="149">
        <v>83.692999999999998</v>
      </c>
      <c r="E169" s="149">
        <v>16.306999999999999</v>
      </c>
    </row>
    <row r="177" spans="1:1" ht="24">
      <c r="A177" s="146" t="s">
        <v>304</v>
      </c>
    </row>
  </sheetData>
  <phoneticPr fontId="13" type="noConversion"/>
  <pageMargins left="0.78740157499999996" right="0.78740157499999996" top="0.984251969" bottom="0.984251969" header="0.4921259845" footer="0.4921259845"/>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V421"/>
  <sheetViews>
    <sheetView topLeftCell="A115" zoomScale="120" zoomScaleNormal="120" workbookViewId="0">
      <selection activeCell="J155" sqref="J155"/>
    </sheetView>
  </sheetViews>
  <sheetFormatPr baseColWidth="10" defaultColWidth="10.7109375" defaultRowHeight="11.1" customHeight="1"/>
  <cols>
    <col min="1" max="1" width="4.140625" style="7" bestFit="1" customWidth="1"/>
    <col min="2" max="2" width="13.7109375" style="7" bestFit="1" customWidth="1"/>
    <col min="3" max="3" width="20.7109375" style="7" customWidth="1"/>
    <col min="4" max="4" width="13.42578125" style="163" customWidth="1"/>
    <col min="5" max="6" width="12.7109375" style="176" customWidth="1"/>
    <col min="7" max="8" width="12.7109375" style="157" customWidth="1"/>
    <col min="9" max="9" width="10.28515625" style="6" customWidth="1"/>
    <col min="10" max="10" width="6.140625" style="6" customWidth="1"/>
    <col min="11" max="11" width="6.140625" style="7" customWidth="1"/>
    <col min="12" max="13" width="8.7109375" style="7" customWidth="1"/>
    <col min="14" max="16384" width="10.7109375" style="7"/>
  </cols>
  <sheetData>
    <row r="1" spans="1:22" s="2" customFormat="1" ht="12" customHeight="1">
      <c r="C1" s="1" t="s">
        <v>319</v>
      </c>
      <c r="D1" s="152"/>
      <c r="E1" s="174"/>
      <c r="F1" s="174"/>
      <c r="G1" s="153"/>
      <c r="H1" s="153"/>
    </row>
    <row r="2" spans="1:22" s="2" customFormat="1" ht="12" customHeight="1">
      <c r="C2" s="3" t="s">
        <v>320</v>
      </c>
      <c r="D2" s="154"/>
      <c r="E2" s="174"/>
      <c r="F2" s="174"/>
      <c r="G2" s="153"/>
      <c r="H2" s="153"/>
    </row>
    <row r="3" spans="1:22" s="2" customFormat="1" ht="11.1" customHeight="1">
      <c r="C3" s="4" t="s">
        <v>128</v>
      </c>
      <c r="D3" s="155" t="s">
        <v>129</v>
      </c>
      <c r="E3" s="175"/>
      <c r="F3" s="175"/>
      <c r="G3" s="156"/>
      <c r="H3" s="156"/>
    </row>
    <row r="4" spans="1:22" s="2" customFormat="1" ht="11.1" customHeight="1">
      <c r="C4" s="5"/>
      <c r="D4" s="155" t="s">
        <v>130</v>
      </c>
      <c r="E4" s="175"/>
      <c r="F4" s="175"/>
      <c r="G4" s="156"/>
      <c r="H4" s="156"/>
    </row>
    <row r="5" spans="1:22" s="2" customFormat="1" ht="11.1" customHeight="1">
      <c r="C5" s="5"/>
      <c r="D5" s="155" t="s">
        <v>131</v>
      </c>
      <c r="E5" s="175" t="s">
        <v>83</v>
      </c>
      <c r="F5" s="175"/>
      <c r="G5" s="156" t="s">
        <v>84</v>
      </c>
      <c r="H5" s="156"/>
    </row>
    <row r="6" spans="1:22" s="2" customFormat="1" ht="11.1" customHeight="1">
      <c r="C6" s="5"/>
      <c r="D6" s="155" t="s">
        <v>132</v>
      </c>
      <c r="E6" s="175" t="s">
        <v>129</v>
      </c>
      <c r="F6" s="175"/>
      <c r="G6" s="156" t="s">
        <v>129</v>
      </c>
      <c r="H6" s="156"/>
    </row>
    <row r="7" spans="1:22" s="2" customFormat="1" ht="11.1" customHeight="1">
      <c r="C7" s="5"/>
      <c r="D7" s="155"/>
      <c r="E7" s="175" t="s">
        <v>133</v>
      </c>
      <c r="F7" s="175"/>
      <c r="G7" s="156" t="s">
        <v>133</v>
      </c>
      <c r="H7" s="156"/>
    </row>
    <row r="8" spans="1:22" s="2" customFormat="1" ht="11.1" customHeight="1">
      <c r="C8" s="5"/>
      <c r="D8" s="155" t="s">
        <v>133</v>
      </c>
      <c r="E8" s="175" t="s">
        <v>77</v>
      </c>
      <c r="F8" s="175" t="s">
        <v>77</v>
      </c>
      <c r="G8" s="156" t="s">
        <v>77</v>
      </c>
      <c r="H8" s="156" t="s">
        <v>77</v>
      </c>
    </row>
    <row r="9" spans="1:22" ht="11.1" customHeight="1">
      <c r="C9" s="5"/>
      <c r="D9" s="155" t="s">
        <v>134</v>
      </c>
      <c r="E9" s="176" t="s">
        <v>78</v>
      </c>
      <c r="F9" s="176" t="s">
        <v>79</v>
      </c>
      <c r="G9" s="156" t="s">
        <v>78</v>
      </c>
      <c r="H9" s="156" t="s">
        <v>79</v>
      </c>
    </row>
    <row r="10" spans="1:22" ht="11.1" customHeight="1">
      <c r="C10" s="5"/>
      <c r="D10" s="155" t="s">
        <v>135</v>
      </c>
      <c r="E10" s="176" t="s">
        <v>80</v>
      </c>
      <c r="F10" s="176" t="s">
        <v>80</v>
      </c>
      <c r="G10" s="156" t="s">
        <v>80</v>
      </c>
      <c r="H10" s="156" t="s">
        <v>80</v>
      </c>
      <c r="J10" s="8"/>
      <c r="K10" s="8"/>
    </row>
    <row r="11" spans="1:22" s="9" customFormat="1" ht="11.1" customHeight="1">
      <c r="C11" s="5"/>
      <c r="D11" s="155" t="s">
        <v>136</v>
      </c>
      <c r="E11" s="176" t="s">
        <v>81</v>
      </c>
      <c r="F11" s="176" t="s">
        <v>82</v>
      </c>
      <c r="G11" s="156" t="s">
        <v>81</v>
      </c>
      <c r="H11" s="156" t="s">
        <v>82</v>
      </c>
      <c r="J11" s="8"/>
      <c r="K11" s="8"/>
    </row>
    <row r="12" spans="1:22" ht="11.1" customHeight="1">
      <c r="C12" s="10"/>
      <c r="D12" s="157"/>
      <c r="G12" s="156"/>
      <c r="H12" s="156"/>
      <c r="J12" s="8"/>
      <c r="K12" s="8"/>
    </row>
    <row r="13" spans="1:22" ht="11.1" customHeight="1">
      <c r="B13" s="7" t="s">
        <v>72</v>
      </c>
      <c r="C13" s="11"/>
      <c r="D13" s="153"/>
      <c r="G13" s="156"/>
      <c r="H13" s="156"/>
      <c r="J13" s="8"/>
      <c r="K13" s="8"/>
    </row>
    <row r="14" spans="1:22" ht="11.1" customHeight="1">
      <c r="A14" s="7">
        <v>1</v>
      </c>
      <c r="C14" s="11"/>
      <c r="D14" s="153"/>
      <c r="G14" s="156"/>
      <c r="H14" s="156"/>
    </row>
    <row r="15" spans="1:22" ht="11.1" customHeight="1">
      <c r="A15" s="7">
        <v>2</v>
      </c>
      <c r="B15" s="7">
        <v>301</v>
      </c>
      <c r="C15" s="10" t="s">
        <v>45</v>
      </c>
      <c r="D15" s="158">
        <v>79</v>
      </c>
      <c r="E15" s="176">
        <v>10</v>
      </c>
      <c r="F15" s="176">
        <v>10</v>
      </c>
      <c r="G15" s="156">
        <v>10</v>
      </c>
      <c r="H15" s="156">
        <v>10</v>
      </c>
      <c r="J15" s="147"/>
      <c r="K15" s="10"/>
      <c r="L15" s="158"/>
      <c r="M15" s="176"/>
      <c r="N15" s="176"/>
      <c r="O15" s="156"/>
      <c r="P15" s="156"/>
      <c r="R15" s="206"/>
      <c r="S15" s="206"/>
      <c r="T15" s="206"/>
      <c r="U15" s="206"/>
      <c r="V15" s="206">
        <f t="shared" ref="V15:V18" si="0">+P15-H15</f>
        <v>-10</v>
      </c>
    </row>
    <row r="16" spans="1:22" ht="11.1" customHeight="1">
      <c r="A16" s="7">
        <v>3</v>
      </c>
      <c r="B16" s="7">
        <v>201</v>
      </c>
      <c r="C16" s="10" t="s">
        <v>137</v>
      </c>
      <c r="D16" s="158">
        <v>85</v>
      </c>
      <c r="E16" s="176">
        <v>9</v>
      </c>
      <c r="F16" s="176">
        <v>9</v>
      </c>
      <c r="G16" s="156">
        <v>10</v>
      </c>
      <c r="H16" s="156">
        <v>10</v>
      </c>
      <c r="I16" s="7"/>
      <c r="J16" s="147"/>
      <c r="K16" s="10"/>
      <c r="L16" s="158"/>
      <c r="M16" s="176"/>
      <c r="N16" s="176"/>
      <c r="O16" s="156"/>
      <c r="P16" s="156"/>
      <c r="R16" s="206"/>
      <c r="S16" s="206"/>
      <c r="T16" s="206"/>
      <c r="U16" s="206"/>
      <c r="V16" s="206">
        <f t="shared" si="0"/>
        <v>-10</v>
      </c>
    </row>
    <row r="17" spans="1:22" ht="11.1" customHeight="1">
      <c r="A17" s="7">
        <v>4</v>
      </c>
      <c r="B17" s="7">
        <v>801</v>
      </c>
      <c r="C17" s="10" t="s">
        <v>65</v>
      </c>
      <c r="D17" s="158">
        <v>78.5</v>
      </c>
      <c r="E17" s="175">
        <v>8</v>
      </c>
      <c r="F17" s="175">
        <v>8</v>
      </c>
      <c r="G17" s="156">
        <v>10</v>
      </c>
      <c r="H17" s="156">
        <v>10</v>
      </c>
      <c r="J17" s="147"/>
      <c r="K17" s="10"/>
      <c r="L17" s="158"/>
      <c r="M17" s="175"/>
      <c r="N17" s="175"/>
      <c r="O17" s="156"/>
      <c r="P17" s="156"/>
      <c r="R17" s="206"/>
      <c r="S17" s="206"/>
      <c r="T17" s="206"/>
      <c r="U17" s="206"/>
      <c r="V17" s="206">
        <f t="shared" si="0"/>
        <v>-10</v>
      </c>
    </row>
    <row r="18" spans="1:22" ht="11.1" customHeight="1">
      <c r="A18" s="7">
        <v>5</v>
      </c>
      <c r="B18" s="7">
        <v>601</v>
      </c>
      <c r="C18" s="10" t="s">
        <v>105</v>
      </c>
      <c r="D18" s="177">
        <v>50</v>
      </c>
      <c r="E18" s="176">
        <v>10</v>
      </c>
      <c r="F18" s="176">
        <v>10</v>
      </c>
      <c r="G18" s="156">
        <v>10</v>
      </c>
      <c r="H18" s="156">
        <v>10</v>
      </c>
      <c r="J18" s="147"/>
      <c r="K18" s="10"/>
      <c r="L18" s="177"/>
      <c r="M18" s="176"/>
      <c r="N18" s="176"/>
      <c r="O18" s="156"/>
      <c r="P18" s="156"/>
      <c r="R18" s="206"/>
      <c r="S18" s="206"/>
      <c r="T18" s="206"/>
      <c r="U18" s="206"/>
      <c r="V18" s="206">
        <f t="shared" si="0"/>
        <v>-10</v>
      </c>
    </row>
    <row r="19" spans="1:22" ht="11.1" customHeight="1">
      <c r="A19" s="7">
        <v>6</v>
      </c>
      <c r="B19" s="7">
        <v>203</v>
      </c>
      <c r="C19" s="10" t="s">
        <v>139</v>
      </c>
      <c r="D19" s="158">
        <v>90</v>
      </c>
      <c r="E19" s="176">
        <v>10</v>
      </c>
      <c r="F19" s="176">
        <v>10</v>
      </c>
      <c r="G19" s="156">
        <v>10</v>
      </c>
      <c r="H19" s="156">
        <v>10</v>
      </c>
      <c r="J19" s="147"/>
      <c r="K19" s="10"/>
      <c r="L19" s="158"/>
      <c r="M19" s="176"/>
      <c r="N19" s="176"/>
      <c r="O19" s="156"/>
      <c r="P19" s="156"/>
      <c r="R19" s="206"/>
      <c r="S19" s="206"/>
      <c r="T19" s="206"/>
      <c r="U19" s="206"/>
      <c r="V19" s="206" t="e">
        <f>+P19-#REF!</f>
        <v>#REF!</v>
      </c>
    </row>
    <row r="20" spans="1:22" ht="11.1" customHeight="1">
      <c r="A20" s="7">
        <v>7</v>
      </c>
      <c r="B20" s="7">
        <v>204</v>
      </c>
      <c r="C20" s="10" t="s">
        <v>140</v>
      </c>
      <c r="D20" s="158">
        <v>72.099999999999994</v>
      </c>
      <c r="E20" s="176">
        <v>8</v>
      </c>
      <c r="F20" s="176">
        <v>10</v>
      </c>
      <c r="G20" s="156">
        <v>10</v>
      </c>
      <c r="H20" s="156">
        <v>10</v>
      </c>
      <c r="J20" s="147"/>
      <c r="K20" s="10"/>
      <c r="L20" s="158"/>
      <c r="M20" s="176"/>
      <c r="N20" s="176"/>
      <c r="O20" s="156"/>
      <c r="P20" s="156"/>
      <c r="R20" s="206"/>
      <c r="S20" s="206"/>
      <c r="T20" s="206"/>
      <c r="U20" s="206"/>
      <c r="V20" s="206">
        <f t="shared" ref="V20:V51" si="1">+P20-H19</f>
        <v>-10</v>
      </c>
    </row>
    <row r="21" spans="1:22" ht="11.1" customHeight="1">
      <c r="A21" s="7">
        <v>8</v>
      </c>
      <c r="B21" s="7">
        <v>503</v>
      </c>
      <c r="C21" s="10" t="s">
        <v>195</v>
      </c>
      <c r="D21" s="158">
        <v>90</v>
      </c>
      <c r="E21" s="176">
        <v>10</v>
      </c>
      <c r="F21" s="176">
        <v>10</v>
      </c>
      <c r="G21" s="156">
        <v>10</v>
      </c>
      <c r="H21" s="156">
        <v>10</v>
      </c>
      <c r="J21" s="147"/>
      <c r="K21" s="10"/>
      <c r="L21" s="158"/>
      <c r="M21" s="176"/>
      <c r="N21" s="176"/>
      <c r="O21" s="156"/>
      <c r="P21" s="156"/>
      <c r="R21" s="206"/>
      <c r="S21" s="206"/>
      <c r="T21" s="206"/>
      <c r="U21" s="206"/>
      <c r="V21" s="206">
        <f t="shared" si="1"/>
        <v>-10</v>
      </c>
    </row>
    <row r="22" spans="1:22" ht="11.1" customHeight="1">
      <c r="A22" s="7">
        <v>9</v>
      </c>
      <c r="B22" s="7">
        <v>442</v>
      </c>
      <c r="C22" s="10" t="s">
        <v>277</v>
      </c>
      <c r="D22" s="158">
        <v>83.2</v>
      </c>
      <c r="E22" s="176">
        <v>10</v>
      </c>
      <c r="F22" s="176">
        <v>10</v>
      </c>
      <c r="G22" s="156">
        <v>9</v>
      </c>
      <c r="H22" s="156">
        <v>10</v>
      </c>
      <c r="J22" s="147"/>
      <c r="K22" s="10"/>
      <c r="L22" s="158"/>
      <c r="M22" s="176"/>
      <c r="N22" s="176"/>
      <c r="O22" s="156"/>
      <c r="P22" s="156"/>
      <c r="R22" s="206"/>
      <c r="S22" s="206"/>
      <c r="T22" s="206"/>
      <c r="U22" s="206"/>
      <c r="V22" s="206">
        <f t="shared" si="1"/>
        <v>-10</v>
      </c>
    </row>
    <row r="23" spans="1:22" ht="11.1" customHeight="1">
      <c r="A23" s="7">
        <v>10</v>
      </c>
      <c r="B23" s="7">
        <v>205</v>
      </c>
      <c r="C23" s="10" t="s">
        <v>141</v>
      </c>
      <c r="D23" s="158">
        <v>81</v>
      </c>
      <c r="E23" s="176">
        <v>8</v>
      </c>
      <c r="F23" s="176">
        <v>10</v>
      </c>
      <c r="G23" s="156">
        <v>10</v>
      </c>
      <c r="H23" s="156">
        <v>10</v>
      </c>
      <c r="J23" s="147"/>
      <c r="K23" s="10"/>
      <c r="L23" s="158"/>
      <c r="M23" s="176"/>
      <c r="N23" s="176"/>
      <c r="O23" s="156"/>
      <c r="P23" s="156"/>
      <c r="R23" s="206"/>
      <c r="S23" s="206"/>
      <c r="T23" s="206"/>
      <c r="U23" s="206"/>
      <c r="V23" s="206">
        <f t="shared" si="1"/>
        <v>-10</v>
      </c>
    </row>
    <row r="24" spans="1:22" ht="11.1" customHeight="1">
      <c r="A24" s="7">
        <v>11</v>
      </c>
      <c r="B24" s="19">
        <v>753</v>
      </c>
      <c r="C24" s="10" t="s">
        <v>317</v>
      </c>
      <c r="D24" s="158">
        <v>72</v>
      </c>
      <c r="E24" s="176">
        <v>6</v>
      </c>
      <c r="F24" s="176">
        <v>6</v>
      </c>
      <c r="G24" s="156">
        <v>8</v>
      </c>
      <c r="H24" s="156">
        <v>10</v>
      </c>
      <c r="J24" s="147"/>
      <c r="K24" s="10"/>
      <c r="L24" s="158"/>
      <c r="M24" s="176"/>
      <c r="N24" s="176"/>
      <c r="O24" s="156"/>
      <c r="P24" s="156"/>
      <c r="R24" s="206"/>
      <c r="S24" s="206"/>
      <c r="T24" s="206"/>
      <c r="U24" s="206"/>
      <c r="V24" s="206">
        <f t="shared" si="1"/>
        <v>-10</v>
      </c>
    </row>
    <row r="25" spans="1:22" ht="11.1" customHeight="1">
      <c r="A25" s="7">
        <v>12</v>
      </c>
      <c r="B25" s="7">
        <v>603</v>
      </c>
      <c r="C25" s="10" t="s">
        <v>106</v>
      </c>
      <c r="D25" s="158">
        <v>100</v>
      </c>
      <c r="E25" s="176">
        <v>10</v>
      </c>
      <c r="F25" s="176">
        <v>10</v>
      </c>
      <c r="G25" s="156">
        <v>10</v>
      </c>
      <c r="H25" s="156">
        <v>10</v>
      </c>
      <c r="J25" s="147"/>
      <c r="K25" s="10"/>
      <c r="L25" s="158"/>
      <c r="M25" s="176"/>
      <c r="N25" s="176"/>
      <c r="O25" s="156"/>
      <c r="P25" s="156"/>
      <c r="R25" s="206"/>
      <c r="S25" s="206"/>
      <c r="T25" s="206"/>
      <c r="U25" s="206"/>
      <c r="V25" s="206">
        <f t="shared" si="1"/>
        <v>-10</v>
      </c>
    </row>
    <row r="26" spans="1:22" ht="11.1" customHeight="1">
      <c r="A26" s="7">
        <v>13</v>
      </c>
      <c r="B26" s="7">
        <v>302</v>
      </c>
      <c r="C26" s="10" t="s">
        <v>46</v>
      </c>
      <c r="D26" s="158">
        <v>79</v>
      </c>
      <c r="E26" s="176">
        <v>10</v>
      </c>
      <c r="F26" s="176">
        <v>10</v>
      </c>
      <c r="G26" s="156">
        <v>10</v>
      </c>
      <c r="H26" s="156">
        <v>10</v>
      </c>
      <c r="J26" s="147"/>
      <c r="K26" s="10"/>
      <c r="L26" s="158"/>
      <c r="M26" s="176"/>
      <c r="N26" s="176"/>
      <c r="O26" s="156"/>
      <c r="P26" s="156"/>
      <c r="R26" s="206"/>
      <c r="S26" s="206"/>
      <c r="T26" s="206"/>
      <c r="U26" s="206"/>
      <c r="V26" s="206">
        <f t="shared" si="1"/>
        <v>-10</v>
      </c>
    </row>
    <row r="27" spans="1:22" ht="11.1" customHeight="1">
      <c r="A27" s="7">
        <v>14</v>
      </c>
      <c r="B27" s="7">
        <v>803</v>
      </c>
      <c r="C27" s="10" t="s">
        <v>66</v>
      </c>
      <c r="D27" s="158">
        <v>93</v>
      </c>
      <c r="E27" s="175">
        <v>8</v>
      </c>
      <c r="F27" s="175">
        <v>8</v>
      </c>
      <c r="G27" s="156">
        <v>10</v>
      </c>
      <c r="H27" s="156">
        <v>10</v>
      </c>
      <c r="J27" s="147"/>
      <c r="K27" s="10"/>
      <c r="L27" s="158"/>
      <c r="M27" s="176"/>
      <c r="N27" s="176"/>
      <c r="O27" s="156"/>
      <c r="P27" s="156"/>
      <c r="R27" s="206"/>
      <c r="S27" s="206"/>
      <c r="T27" s="206"/>
      <c r="U27" s="206"/>
      <c r="V27" s="206">
        <f t="shared" si="1"/>
        <v>-10</v>
      </c>
    </row>
    <row r="28" spans="1:22" ht="11.1" customHeight="1">
      <c r="A28" s="7">
        <v>15</v>
      </c>
      <c r="B28" s="7">
        <v>403</v>
      </c>
      <c r="C28" s="10" t="s">
        <v>172</v>
      </c>
      <c r="D28" s="158">
        <v>85</v>
      </c>
      <c r="E28" s="176">
        <v>10</v>
      </c>
      <c r="F28" s="176">
        <v>10</v>
      </c>
      <c r="G28" s="156">
        <v>9</v>
      </c>
      <c r="H28" s="156">
        <v>10</v>
      </c>
      <c r="J28" s="147"/>
      <c r="K28" s="10"/>
      <c r="L28" s="158"/>
      <c r="M28" s="175"/>
      <c r="N28" s="175"/>
      <c r="O28" s="156"/>
      <c r="P28" s="156"/>
      <c r="R28" s="206"/>
      <c r="S28" s="206"/>
      <c r="T28" s="206"/>
      <c r="U28" s="206"/>
      <c r="V28" s="206">
        <f t="shared" si="1"/>
        <v>-10</v>
      </c>
    </row>
    <row r="29" spans="1:22" ht="11.1" customHeight="1">
      <c r="A29" s="7">
        <v>16</v>
      </c>
      <c r="B29" s="7">
        <v>404</v>
      </c>
      <c r="C29" s="10" t="s">
        <v>173</v>
      </c>
      <c r="D29" s="158">
        <v>92</v>
      </c>
      <c r="E29" s="176">
        <v>10</v>
      </c>
      <c r="F29" s="176">
        <v>10</v>
      </c>
      <c r="G29" s="156">
        <v>9</v>
      </c>
      <c r="H29" s="156">
        <v>10</v>
      </c>
      <c r="J29" s="147"/>
      <c r="K29" s="10"/>
      <c r="L29" s="158"/>
      <c r="M29" s="176"/>
      <c r="N29" s="176"/>
      <c r="O29" s="156"/>
      <c r="P29" s="156"/>
      <c r="R29" s="206"/>
      <c r="S29" s="206"/>
      <c r="T29" s="206"/>
      <c r="U29" s="206"/>
      <c r="V29" s="206">
        <f t="shared" si="1"/>
        <v>-10</v>
      </c>
    </row>
    <row r="30" spans="1:22" ht="11.1" customHeight="1">
      <c r="A30" s="7">
        <v>17</v>
      </c>
      <c r="B30" s="7">
        <v>303</v>
      </c>
      <c r="C30" s="10" t="s">
        <v>47</v>
      </c>
      <c r="D30" s="158">
        <v>95</v>
      </c>
      <c r="E30" s="176">
        <v>10</v>
      </c>
      <c r="F30" s="176">
        <v>10</v>
      </c>
      <c r="G30" s="156">
        <v>10</v>
      </c>
      <c r="H30" s="156">
        <v>10</v>
      </c>
      <c r="J30" s="147"/>
      <c r="K30" s="10"/>
      <c r="L30" s="158"/>
      <c r="M30" s="176"/>
      <c r="N30" s="176"/>
      <c r="O30" s="156"/>
      <c r="P30" s="156"/>
      <c r="R30" s="206"/>
      <c r="S30" s="206"/>
      <c r="T30" s="206"/>
      <c r="U30" s="206"/>
      <c r="V30" s="206">
        <f t="shared" si="1"/>
        <v>-10</v>
      </c>
    </row>
    <row r="31" spans="1:22" ht="11.1" customHeight="1">
      <c r="A31" s="7">
        <v>18</v>
      </c>
      <c r="B31" s="7">
        <v>405</v>
      </c>
      <c r="C31" s="10" t="s">
        <v>174</v>
      </c>
      <c r="D31" s="158">
        <v>74.3</v>
      </c>
      <c r="E31" s="176">
        <v>4</v>
      </c>
      <c r="F31" s="176">
        <v>10</v>
      </c>
      <c r="G31" s="156">
        <v>9</v>
      </c>
      <c r="H31" s="156">
        <v>10</v>
      </c>
      <c r="J31" s="147"/>
      <c r="K31" s="10"/>
      <c r="L31" s="158"/>
      <c r="M31" s="176"/>
      <c r="N31" s="176"/>
      <c r="O31" s="156"/>
      <c r="P31" s="156"/>
      <c r="R31" s="206"/>
      <c r="S31" s="206"/>
      <c r="T31" s="206"/>
      <c r="U31" s="206"/>
      <c r="V31" s="206">
        <f t="shared" si="1"/>
        <v>-10</v>
      </c>
    </row>
    <row r="32" spans="1:22" ht="11.1" customHeight="1">
      <c r="A32" s="7">
        <v>19</v>
      </c>
      <c r="B32" s="7">
        <v>704</v>
      </c>
      <c r="C32" s="10" t="s">
        <v>221</v>
      </c>
      <c r="D32" s="158">
        <v>78.400000000000006</v>
      </c>
      <c r="E32" s="176">
        <v>10</v>
      </c>
      <c r="F32" s="176">
        <v>10</v>
      </c>
      <c r="G32" s="156">
        <v>8</v>
      </c>
      <c r="H32" s="156">
        <v>10</v>
      </c>
      <c r="J32" s="147"/>
      <c r="K32" s="10"/>
      <c r="L32" s="158"/>
      <c r="M32" s="176"/>
      <c r="N32" s="176"/>
      <c r="O32" s="156"/>
      <c r="P32" s="156"/>
      <c r="R32" s="206"/>
      <c r="S32" s="206"/>
      <c r="T32" s="206"/>
      <c r="U32" s="206"/>
      <c r="V32" s="206">
        <f t="shared" si="1"/>
        <v>-10</v>
      </c>
    </row>
    <row r="33" spans="1:22" ht="11.1" customHeight="1">
      <c r="A33" s="7">
        <v>20</v>
      </c>
      <c r="B33" s="19">
        <v>606</v>
      </c>
      <c r="C33" s="10" t="s">
        <v>275</v>
      </c>
      <c r="D33" s="158">
        <v>85</v>
      </c>
      <c r="E33" s="176">
        <v>10</v>
      </c>
      <c r="F33" s="176">
        <v>10</v>
      </c>
      <c r="G33" s="156">
        <v>10</v>
      </c>
      <c r="H33" s="156">
        <v>10</v>
      </c>
      <c r="J33" s="147"/>
      <c r="K33" s="10"/>
      <c r="L33" s="158"/>
      <c r="M33" s="176"/>
      <c r="N33" s="176"/>
      <c r="O33" s="156"/>
      <c r="P33" s="156"/>
      <c r="R33" s="206"/>
      <c r="S33" s="206"/>
      <c r="T33" s="206"/>
      <c r="U33" s="206"/>
      <c r="V33" s="206">
        <f t="shared" si="1"/>
        <v>-10</v>
      </c>
    </row>
    <row r="34" spans="1:22" ht="11.1" customHeight="1">
      <c r="A34" s="7">
        <v>21</v>
      </c>
      <c r="B34" s="7">
        <v>805</v>
      </c>
      <c r="C34" s="10" t="s">
        <v>67</v>
      </c>
      <c r="D34" s="158">
        <v>83.6</v>
      </c>
      <c r="E34" s="175">
        <v>6</v>
      </c>
      <c r="F34" s="175">
        <v>10</v>
      </c>
      <c r="G34" s="156">
        <v>10</v>
      </c>
      <c r="H34" s="156">
        <v>10</v>
      </c>
      <c r="J34" s="147"/>
      <c r="K34" s="10"/>
      <c r="L34" s="158"/>
      <c r="M34" s="176"/>
      <c r="N34" s="176"/>
      <c r="O34" s="156"/>
      <c r="P34" s="156"/>
      <c r="R34" s="206"/>
      <c r="S34" s="206"/>
      <c r="T34" s="206"/>
      <c r="U34" s="206"/>
      <c r="V34" s="206">
        <f t="shared" si="1"/>
        <v>-10</v>
      </c>
    </row>
    <row r="35" spans="1:22" s="9" customFormat="1" ht="11.1" customHeight="1">
      <c r="A35" s="7">
        <v>22</v>
      </c>
      <c r="B35" s="7">
        <v>408</v>
      </c>
      <c r="C35" s="10" t="s">
        <v>177</v>
      </c>
      <c r="D35" s="158">
        <v>79.5</v>
      </c>
      <c r="E35" s="176">
        <v>10</v>
      </c>
      <c r="F35" s="176">
        <v>10</v>
      </c>
      <c r="G35" s="156">
        <v>9</v>
      </c>
      <c r="H35" s="156">
        <v>10</v>
      </c>
      <c r="I35" s="6"/>
      <c r="J35" s="147"/>
      <c r="K35" s="10"/>
      <c r="L35" s="158"/>
      <c r="M35" s="175"/>
      <c r="N35" s="175"/>
      <c r="O35" s="156"/>
      <c r="P35" s="156"/>
      <c r="Q35" s="7"/>
      <c r="R35" s="206"/>
      <c r="S35" s="206"/>
      <c r="T35" s="206"/>
      <c r="U35" s="206"/>
      <c r="V35" s="206">
        <f t="shared" si="1"/>
        <v>-10</v>
      </c>
    </row>
    <row r="36" spans="1:22" ht="11.1" customHeight="1">
      <c r="A36" s="7">
        <v>23</v>
      </c>
      <c r="B36" s="7">
        <v>708</v>
      </c>
      <c r="C36" s="10" t="s">
        <v>223</v>
      </c>
      <c r="D36" s="158">
        <v>87</v>
      </c>
      <c r="E36" s="176">
        <v>8</v>
      </c>
      <c r="F36" s="176">
        <v>8</v>
      </c>
      <c r="G36" s="156">
        <v>8</v>
      </c>
      <c r="H36" s="156">
        <v>10</v>
      </c>
      <c r="J36" s="150"/>
      <c r="K36" s="10"/>
      <c r="L36" s="158"/>
      <c r="M36" s="176"/>
      <c r="N36" s="176"/>
      <c r="O36" s="156"/>
      <c r="P36" s="156"/>
      <c r="R36" s="206"/>
      <c r="S36" s="206"/>
      <c r="T36" s="206"/>
      <c r="U36" s="206"/>
      <c r="V36" s="206">
        <f t="shared" si="1"/>
        <v>-10</v>
      </c>
    </row>
    <row r="37" spans="1:22" s="9" customFormat="1" ht="11.1" customHeight="1">
      <c r="A37" s="7">
        <v>24</v>
      </c>
      <c r="B37" s="7">
        <v>608</v>
      </c>
      <c r="C37" s="10" t="s">
        <v>109</v>
      </c>
      <c r="D37" s="158">
        <v>85</v>
      </c>
      <c r="E37" s="176">
        <v>10</v>
      </c>
      <c r="F37" s="176">
        <v>10</v>
      </c>
      <c r="G37" s="156">
        <v>10</v>
      </c>
      <c r="H37" s="156">
        <v>10</v>
      </c>
      <c r="I37" s="6"/>
      <c r="J37" s="147"/>
      <c r="K37" s="10"/>
      <c r="L37" s="158"/>
      <c r="M37" s="176"/>
      <c r="N37" s="176"/>
      <c r="O37" s="156"/>
      <c r="P37" s="156"/>
      <c r="Q37" s="7"/>
      <c r="R37" s="206"/>
      <c r="S37" s="206"/>
      <c r="T37" s="206"/>
      <c r="U37" s="206"/>
      <c r="V37" s="206">
        <f t="shared" si="1"/>
        <v>-10</v>
      </c>
    </row>
    <row r="38" spans="1:22" ht="11.1" customHeight="1">
      <c r="A38" s="7">
        <v>25</v>
      </c>
      <c r="B38" s="7">
        <v>709</v>
      </c>
      <c r="C38" s="10" t="s">
        <v>224</v>
      </c>
      <c r="D38" s="158">
        <v>80</v>
      </c>
      <c r="E38" s="176">
        <v>10</v>
      </c>
      <c r="F38" s="176">
        <v>10</v>
      </c>
      <c r="G38" s="156">
        <v>8</v>
      </c>
      <c r="H38" s="156">
        <v>10</v>
      </c>
      <c r="J38" s="147"/>
      <c r="K38" s="10"/>
      <c r="L38" s="158"/>
      <c r="M38" s="176"/>
      <c r="N38" s="176"/>
      <c r="O38" s="156"/>
      <c r="P38" s="156"/>
      <c r="R38" s="206"/>
      <c r="S38" s="206"/>
      <c r="T38" s="206"/>
      <c r="U38" s="206"/>
      <c r="V38" s="206">
        <f t="shared" si="1"/>
        <v>-10</v>
      </c>
    </row>
    <row r="39" spans="1:22" ht="11.1" customHeight="1">
      <c r="A39" s="7">
        <v>26</v>
      </c>
      <c r="B39" s="7">
        <v>207</v>
      </c>
      <c r="C39" s="10" t="s">
        <v>143</v>
      </c>
      <c r="D39" s="158">
        <v>77.099999999999994</v>
      </c>
      <c r="E39" s="176">
        <v>10</v>
      </c>
      <c r="F39" s="176">
        <v>10</v>
      </c>
      <c r="G39" s="156">
        <v>10</v>
      </c>
      <c r="H39" s="156">
        <v>10</v>
      </c>
      <c r="J39" s="147"/>
      <c r="K39" s="10"/>
      <c r="L39" s="158"/>
      <c r="M39" s="176"/>
      <c r="N39" s="176"/>
      <c r="O39" s="156"/>
      <c r="P39" s="156"/>
      <c r="R39" s="206"/>
      <c r="S39" s="206"/>
      <c r="T39" s="206"/>
      <c r="U39" s="206"/>
      <c r="V39" s="206">
        <f t="shared" si="1"/>
        <v>-10</v>
      </c>
    </row>
    <row r="40" spans="1:22" ht="11.1" customHeight="1">
      <c r="A40" s="7">
        <v>27</v>
      </c>
      <c r="B40" s="7">
        <v>209</v>
      </c>
      <c r="C40" s="10" t="s">
        <v>144</v>
      </c>
      <c r="D40" s="158">
        <v>76</v>
      </c>
      <c r="E40" s="176">
        <v>8</v>
      </c>
      <c r="F40" s="176">
        <v>10</v>
      </c>
      <c r="G40" s="156">
        <v>10</v>
      </c>
      <c r="H40" s="156">
        <v>10</v>
      </c>
      <c r="J40" s="147"/>
      <c r="K40" s="10"/>
      <c r="L40" s="158"/>
      <c r="M40" s="176"/>
      <c r="N40" s="176"/>
      <c r="O40" s="156"/>
      <c r="P40" s="156"/>
      <c r="R40" s="206"/>
      <c r="S40" s="206"/>
      <c r="T40" s="206"/>
      <c r="U40" s="206"/>
      <c r="V40" s="206">
        <f t="shared" si="1"/>
        <v>-10</v>
      </c>
    </row>
    <row r="41" spans="1:22" ht="11.1" customHeight="1">
      <c r="A41" s="7">
        <v>28</v>
      </c>
      <c r="B41" s="7">
        <v>755</v>
      </c>
      <c r="C41" s="10" t="s">
        <v>321</v>
      </c>
      <c r="D41" s="158">
        <v>70</v>
      </c>
      <c r="E41" s="176">
        <v>10</v>
      </c>
      <c r="F41" s="176">
        <v>10</v>
      </c>
      <c r="G41" s="156">
        <v>8</v>
      </c>
      <c r="H41" s="156">
        <v>10</v>
      </c>
      <c r="J41" s="147"/>
      <c r="K41" s="10"/>
      <c r="L41" s="158"/>
      <c r="M41" s="176"/>
      <c r="N41" s="176"/>
      <c r="O41" s="156"/>
      <c r="P41" s="156"/>
      <c r="R41" s="206"/>
      <c r="S41" s="206"/>
      <c r="T41" s="206"/>
      <c r="U41" s="206"/>
      <c r="V41" s="206">
        <f t="shared" si="1"/>
        <v>-10</v>
      </c>
    </row>
    <row r="42" spans="1:22" ht="11.1" customHeight="1">
      <c r="A42" s="7">
        <v>29</v>
      </c>
      <c r="B42" s="7">
        <v>409</v>
      </c>
      <c r="C42" s="10" t="s">
        <v>178</v>
      </c>
      <c r="D42" s="158">
        <v>77.2</v>
      </c>
      <c r="E42" s="176">
        <v>10</v>
      </c>
      <c r="F42" s="176">
        <v>10</v>
      </c>
      <c r="G42" s="156">
        <v>9</v>
      </c>
      <c r="H42" s="156">
        <v>10</v>
      </c>
      <c r="J42" s="147"/>
      <c r="K42" s="10"/>
      <c r="L42" s="158"/>
      <c r="M42" s="176"/>
      <c r="N42" s="176"/>
      <c r="O42" s="156"/>
      <c r="P42" s="156"/>
      <c r="R42" s="206"/>
      <c r="S42" s="206"/>
      <c r="T42" s="206"/>
      <c r="U42" s="206"/>
      <c r="V42" s="206">
        <f t="shared" si="1"/>
        <v>-10</v>
      </c>
    </row>
    <row r="43" spans="1:22" ht="11.1" customHeight="1">
      <c r="A43" s="7">
        <v>30</v>
      </c>
      <c r="B43" s="7">
        <v>213</v>
      </c>
      <c r="C43" s="10" t="s">
        <v>145</v>
      </c>
      <c r="D43" s="158">
        <v>75</v>
      </c>
      <c r="E43" s="176">
        <v>8</v>
      </c>
      <c r="F43" s="176">
        <v>10</v>
      </c>
      <c r="G43" s="156">
        <v>10</v>
      </c>
      <c r="H43" s="156">
        <v>10</v>
      </c>
      <c r="J43" s="147"/>
      <c r="K43" s="10"/>
      <c r="L43" s="158"/>
      <c r="M43" s="176"/>
      <c r="N43" s="176"/>
      <c r="O43" s="156"/>
      <c r="P43" s="156"/>
      <c r="R43" s="206"/>
      <c r="S43" s="206"/>
      <c r="T43" s="206"/>
      <c r="U43" s="206"/>
      <c r="V43" s="206">
        <f t="shared" si="1"/>
        <v>-10</v>
      </c>
    </row>
    <row r="44" spans="1:22" ht="11.1" customHeight="1">
      <c r="A44" s="7">
        <v>31</v>
      </c>
      <c r="B44" s="7">
        <v>215</v>
      </c>
      <c r="C44" s="10" t="s">
        <v>147</v>
      </c>
      <c r="D44" s="158">
        <v>85</v>
      </c>
      <c r="E44" s="176">
        <v>10</v>
      </c>
      <c r="F44" s="176">
        <v>10</v>
      </c>
      <c r="G44" s="156">
        <v>10</v>
      </c>
      <c r="H44" s="156">
        <v>10</v>
      </c>
      <c r="J44" s="147"/>
      <c r="K44" s="10"/>
      <c r="L44" s="158"/>
      <c r="M44" s="176"/>
      <c r="N44" s="176"/>
      <c r="O44" s="156"/>
      <c r="P44" s="156"/>
      <c r="R44" s="206"/>
      <c r="S44" s="206"/>
      <c r="T44" s="206"/>
      <c r="U44" s="206"/>
      <c r="V44" s="206">
        <f t="shared" si="1"/>
        <v>-10</v>
      </c>
    </row>
    <row r="45" spans="1:22" ht="11.1" customHeight="1">
      <c r="A45" s="7">
        <v>32</v>
      </c>
      <c r="B45" s="7">
        <v>216</v>
      </c>
      <c r="C45" s="10" t="s">
        <v>148</v>
      </c>
      <c r="D45" s="158">
        <v>93</v>
      </c>
      <c r="E45" s="176">
        <v>10</v>
      </c>
      <c r="F45" s="176">
        <v>10</v>
      </c>
      <c r="G45" s="156">
        <v>10</v>
      </c>
      <c r="H45" s="156">
        <v>10</v>
      </c>
      <c r="J45" s="147"/>
      <c r="K45" s="10"/>
      <c r="L45" s="158"/>
      <c r="M45" s="176"/>
      <c r="N45" s="176"/>
      <c r="O45" s="156"/>
      <c r="P45" s="156"/>
      <c r="R45" s="206"/>
      <c r="S45" s="206"/>
      <c r="T45" s="206"/>
      <c r="U45" s="206"/>
      <c r="V45" s="206">
        <f t="shared" si="1"/>
        <v>-10</v>
      </c>
    </row>
    <row r="46" spans="1:22" ht="11.1" customHeight="1">
      <c r="A46" s="7">
        <v>33</v>
      </c>
      <c r="B46" s="7">
        <v>510</v>
      </c>
      <c r="C46" s="10" t="s">
        <v>198</v>
      </c>
      <c r="D46" s="158">
        <v>76</v>
      </c>
      <c r="E46" s="176">
        <v>8</v>
      </c>
      <c r="F46" s="176">
        <v>8</v>
      </c>
      <c r="G46" s="156">
        <v>10</v>
      </c>
      <c r="H46" s="156">
        <v>10</v>
      </c>
      <c r="J46" s="147"/>
      <c r="K46" s="10"/>
      <c r="L46" s="158"/>
      <c r="M46" s="176"/>
      <c r="N46" s="176"/>
      <c r="O46" s="156"/>
      <c r="P46" s="156"/>
      <c r="R46" s="206"/>
      <c r="S46" s="206"/>
      <c r="T46" s="206"/>
      <c r="U46" s="206"/>
      <c r="V46" s="206">
        <f t="shared" si="1"/>
        <v>-10</v>
      </c>
    </row>
    <row r="47" spans="1:22" ht="11.1" customHeight="1">
      <c r="A47" s="7">
        <v>34</v>
      </c>
      <c r="B47" s="7">
        <v>514</v>
      </c>
      <c r="C47" s="12" t="s">
        <v>200</v>
      </c>
      <c r="D47" s="158">
        <v>85</v>
      </c>
      <c r="E47" s="176">
        <v>10</v>
      </c>
      <c r="F47" s="176">
        <v>10</v>
      </c>
      <c r="G47" s="156">
        <v>10</v>
      </c>
      <c r="H47" s="156">
        <v>10</v>
      </c>
      <c r="J47" s="147"/>
      <c r="K47" s="10"/>
      <c r="L47" s="158"/>
      <c r="M47" s="176"/>
      <c r="N47" s="176"/>
      <c r="O47" s="156"/>
      <c r="P47" s="156"/>
      <c r="R47" s="206"/>
      <c r="S47" s="206"/>
      <c r="T47" s="206"/>
      <c r="U47" s="206"/>
      <c r="V47" s="206">
        <f t="shared" si="1"/>
        <v>-10</v>
      </c>
    </row>
    <row r="48" spans="1:22" ht="11.1" customHeight="1">
      <c r="A48" s="7">
        <v>35</v>
      </c>
      <c r="B48" s="7">
        <v>517</v>
      </c>
      <c r="C48" s="10" t="s">
        <v>201</v>
      </c>
      <c r="D48" s="158">
        <v>64.900000000000006</v>
      </c>
      <c r="E48" s="176">
        <v>10</v>
      </c>
      <c r="F48" s="176">
        <v>10</v>
      </c>
      <c r="G48" s="156">
        <v>10</v>
      </c>
      <c r="H48" s="156">
        <v>10</v>
      </c>
      <c r="I48" s="7"/>
      <c r="J48" s="147"/>
      <c r="K48" s="12"/>
      <c r="L48" s="158"/>
      <c r="M48" s="176"/>
      <c r="N48" s="176"/>
      <c r="O48" s="156"/>
      <c r="P48" s="156"/>
      <c r="R48" s="206"/>
      <c r="S48" s="206"/>
      <c r="T48" s="206"/>
      <c r="U48" s="206"/>
      <c r="V48" s="206">
        <f t="shared" si="1"/>
        <v>-10</v>
      </c>
    </row>
    <row r="49" spans="1:22" ht="11.1" customHeight="1">
      <c r="A49" s="7">
        <v>36</v>
      </c>
      <c r="B49" s="7">
        <v>410</v>
      </c>
      <c r="C49" s="10" t="s">
        <v>179</v>
      </c>
      <c r="D49" s="158">
        <v>67</v>
      </c>
      <c r="E49" s="176">
        <v>10</v>
      </c>
      <c r="F49" s="176">
        <v>10</v>
      </c>
      <c r="G49" s="156">
        <v>9</v>
      </c>
      <c r="H49" s="156">
        <v>10</v>
      </c>
      <c r="J49" s="147"/>
      <c r="K49" s="10"/>
      <c r="L49" s="158"/>
      <c r="M49" s="176"/>
      <c r="N49" s="176"/>
      <c r="O49" s="156"/>
      <c r="P49" s="156"/>
      <c r="R49" s="206"/>
      <c r="S49" s="206"/>
      <c r="T49" s="206"/>
      <c r="U49" s="206"/>
      <c r="V49" s="206">
        <f t="shared" si="1"/>
        <v>-10</v>
      </c>
    </row>
    <row r="50" spans="1:22" ht="11.1" customHeight="1">
      <c r="A50" s="7">
        <v>37</v>
      </c>
      <c r="B50" s="7">
        <v>711</v>
      </c>
      <c r="C50" s="10" t="s">
        <v>226</v>
      </c>
      <c r="D50" s="158">
        <v>90</v>
      </c>
      <c r="E50" s="176">
        <v>9</v>
      </c>
      <c r="F50" s="176">
        <v>9</v>
      </c>
      <c r="G50" s="156">
        <v>8</v>
      </c>
      <c r="H50" s="156">
        <v>10</v>
      </c>
      <c r="J50" s="147"/>
      <c r="K50" s="10"/>
      <c r="L50" s="158"/>
      <c r="M50" s="176"/>
      <c r="N50" s="176"/>
      <c r="O50" s="156"/>
      <c r="P50" s="156"/>
      <c r="R50" s="206"/>
      <c r="S50" s="206"/>
      <c r="T50" s="206"/>
      <c r="U50" s="206"/>
      <c r="V50" s="206">
        <f t="shared" si="1"/>
        <v>-10</v>
      </c>
    </row>
    <row r="51" spans="1:22" ht="11.1" customHeight="1">
      <c r="A51" s="7">
        <v>38</v>
      </c>
      <c r="B51" s="7">
        <v>751</v>
      </c>
      <c r="C51" s="10" t="s">
        <v>213</v>
      </c>
      <c r="D51" s="158">
        <v>49.9</v>
      </c>
      <c r="E51" s="176">
        <v>10</v>
      </c>
      <c r="F51" s="176">
        <v>10</v>
      </c>
      <c r="G51" s="156">
        <v>8</v>
      </c>
      <c r="H51" s="156">
        <v>10</v>
      </c>
      <c r="J51" s="147"/>
      <c r="K51" s="10"/>
      <c r="L51" s="158"/>
      <c r="M51" s="176"/>
      <c r="N51" s="176"/>
      <c r="O51" s="156"/>
      <c r="P51" s="156"/>
      <c r="R51" s="206"/>
      <c r="S51" s="206"/>
      <c r="T51" s="206"/>
      <c r="U51" s="206"/>
      <c r="V51" s="206">
        <f t="shared" si="1"/>
        <v>-10</v>
      </c>
    </row>
    <row r="52" spans="1:22" ht="11.1" customHeight="1">
      <c r="A52" s="7">
        <v>39</v>
      </c>
      <c r="B52" s="19">
        <v>304</v>
      </c>
      <c r="C52" s="10" t="s">
        <v>48</v>
      </c>
      <c r="D52" s="158">
        <v>82</v>
      </c>
      <c r="E52" s="176">
        <v>8</v>
      </c>
      <c r="F52" s="176">
        <v>8</v>
      </c>
      <c r="G52" s="156">
        <v>10</v>
      </c>
      <c r="H52" s="156">
        <v>10</v>
      </c>
      <c r="J52" s="147"/>
      <c r="K52" s="10"/>
      <c r="L52" s="158"/>
      <c r="M52" s="176"/>
      <c r="N52" s="176"/>
      <c r="O52" s="156"/>
      <c r="P52" s="156"/>
      <c r="R52" s="206"/>
      <c r="S52" s="206"/>
      <c r="T52" s="206"/>
      <c r="U52" s="206"/>
      <c r="V52" s="206">
        <f t="shared" ref="V52:V83" si="2">+P52-H51</f>
        <v>-10</v>
      </c>
    </row>
    <row r="53" spans="1:22" ht="11.1" customHeight="1">
      <c r="A53" s="7">
        <v>40</v>
      </c>
      <c r="B53" s="7">
        <v>411</v>
      </c>
      <c r="C53" s="10" t="s">
        <v>180</v>
      </c>
      <c r="D53" s="158">
        <v>70</v>
      </c>
      <c r="E53" s="176">
        <v>5</v>
      </c>
      <c r="F53" s="176">
        <v>5</v>
      </c>
      <c r="G53" s="156">
        <v>9</v>
      </c>
      <c r="H53" s="156">
        <v>10</v>
      </c>
      <c r="I53" s="13"/>
      <c r="J53" s="147"/>
      <c r="K53" s="10"/>
      <c r="L53" s="158"/>
      <c r="M53" s="176"/>
      <c r="N53" s="176"/>
      <c r="O53" s="156"/>
      <c r="P53" s="156"/>
      <c r="R53" s="206"/>
      <c r="S53" s="206"/>
      <c r="T53" s="206"/>
      <c r="U53" s="206"/>
      <c r="V53" s="206">
        <f t="shared" si="2"/>
        <v>-10</v>
      </c>
    </row>
    <row r="54" spans="1:22" ht="11.1" customHeight="1">
      <c r="A54" s="7">
        <v>41</v>
      </c>
      <c r="B54" s="7">
        <v>612</v>
      </c>
      <c r="C54" s="10" t="s">
        <v>110</v>
      </c>
      <c r="D54" s="158">
        <v>88.5</v>
      </c>
      <c r="E54" s="176">
        <v>10</v>
      </c>
      <c r="F54" s="176">
        <v>10</v>
      </c>
      <c r="G54" s="156">
        <v>10</v>
      </c>
      <c r="H54" s="156">
        <v>10</v>
      </c>
      <c r="I54" s="9"/>
      <c r="J54" s="147"/>
      <c r="K54" s="10"/>
      <c r="L54" s="158"/>
      <c r="M54" s="176"/>
      <c r="N54" s="176"/>
      <c r="O54" s="156"/>
      <c r="P54" s="156"/>
      <c r="Q54" s="9"/>
      <c r="R54" s="206"/>
      <c r="S54" s="206"/>
      <c r="T54" s="206"/>
      <c r="U54" s="206"/>
      <c r="V54" s="206">
        <f t="shared" si="2"/>
        <v>-10</v>
      </c>
    </row>
    <row r="55" spans="1:22" ht="11.1" customHeight="1">
      <c r="A55" s="7">
        <v>42</v>
      </c>
      <c r="B55" s="7">
        <v>219</v>
      </c>
      <c r="C55" s="10" t="s">
        <v>149</v>
      </c>
      <c r="D55" s="158">
        <v>88</v>
      </c>
      <c r="E55" s="176">
        <v>8</v>
      </c>
      <c r="F55" s="176">
        <v>8</v>
      </c>
      <c r="G55" s="156">
        <v>10</v>
      </c>
      <c r="H55" s="156">
        <v>10</v>
      </c>
      <c r="J55" s="147"/>
      <c r="K55" s="10"/>
      <c r="L55" s="158"/>
      <c r="M55" s="176"/>
      <c r="N55" s="176"/>
      <c r="O55" s="156"/>
      <c r="P55" s="156"/>
      <c r="R55" s="206"/>
      <c r="S55" s="206"/>
      <c r="T55" s="206"/>
      <c r="U55" s="206"/>
      <c r="V55" s="206">
        <f t="shared" si="2"/>
        <v>-10</v>
      </c>
    </row>
    <row r="56" spans="1:22" ht="11.1" customHeight="1">
      <c r="A56" s="7">
        <v>43</v>
      </c>
      <c r="B56" s="7">
        <v>715</v>
      </c>
      <c r="C56" s="10" t="s">
        <v>229</v>
      </c>
      <c r="D56" s="158">
        <v>84</v>
      </c>
      <c r="E56" s="176">
        <v>9</v>
      </c>
      <c r="F56" s="176">
        <v>10</v>
      </c>
      <c r="G56" s="156">
        <v>8</v>
      </c>
      <c r="H56" s="156">
        <v>10</v>
      </c>
      <c r="J56" s="147"/>
      <c r="K56" s="10"/>
      <c r="L56" s="158"/>
      <c r="M56" s="176"/>
      <c r="N56" s="176"/>
      <c r="O56" s="156"/>
      <c r="P56" s="156"/>
      <c r="R56" s="206"/>
      <c r="S56" s="206"/>
      <c r="T56" s="206"/>
      <c r="U56" s="206"/>
      <c r="V56" s="206">
        <f t="shared" si="2"/>
        <v>-10</v>
      </c>
    </row>
    <row r="57" spans="1:22" ht="11.1" customHeight="1">
      <c r="A57" s="7">
        <v>44</v>
      </c>
      <c r="B57" s="7">
        <v>224</v>
      </c>
      <c r="C57" s="10" t="s">
        <v>151</v>
      </c>
      <c r="D57" s="158">
        <v>50</v>
      </c>
      <c r="E57" s="176">
        <v>8</v>
      </c>
      <c r="F57" s="176">
        <v>8</v>
      </c>
      <c r="G57" s="156">
        <v>10</v>
      </c>
      <c r="H57" s="156">
        <v>10</v>
      </c>
      <c r="J57" s="150"/>
      <c r="K57" s="10"/>
      <c r="L57" s="158"/>
      <c r="M57" s="176"/>
      <c r="N57" s="176"/>
      <c r="O57" s="156"/>
      <c r="P57" s="156"/>
      <c r="R57" s="206"/>
      <c r="S57" s="206"/>
      <c r="T57" s="206"/>
      <c r="U57" s="206"/>
      <c r="V57" s="206">
        <f t="shared" si="2"/>
        <v>-10</v>
      </c>
    </row>
    <row r="58" spans="1:22" ht="11.1" customHeight="1">
      <c r="A58" s="7">
        <v>45</v>
      </c>
      <c r="B58" s="7">
        <v>716</v>
      </c>
      <c r="C58" s="10" t="s">
        <v>230</v>
      </c>
      <c r="D58" s="158">
        <v>85.6</v>
      </c>
      <c r="E58" s="176">
        <v>10</v>
      </c>
      <c r="F58" s="176">
        <v>10</v>
      </c>
      <c r="G58" s="156">
        <v>8</v>
      </c>
      <c r="H58" s="156">
        <v>10</v>
      </c>
      <c r="J58" s="150"/>
      <c r="K58" s="10"/>
      <c r="L58" s="158"/>
      <c r="M58" s="176"/>
      <c r="N58" s="176"/>
      <c r="O58" s="156"/>
      <c r="P58" s="156"/>
      <c r="R58" s="206"/>
      <c r="S58" s="206"/>
      <c r="T58" s="206"/>
      <c r="U58" s="206"/>
      <c r="V58" s="206">
        <f t="shared" si="2"/>
        <v>-10</v>
      </c>
    </row>
    <row r="59" spans="1:22" s="9" customFormat="1" ht="11.1" customHeight="1">
      <c r="A59" s="7">
        <v>46</v>
      </c>
      <c r="B59" s="7">
        <v>518</v>
      </c>
      <c r="C59" s="10" t="s">
        <v>202</v>
      </c>
      <c r="D59" s="158">
        <v>75</v>
      </c>
      <c r="E59" s="176">
        <v>8</v>
      </c>
      <c r="F59" s="176">
        <v>8</v>
      </c>
      <c r="G59" s="156">
        <v>7</v>
      </c>
      <c r="H59" s="156">
        <v>7</v>
      </c>
      <c r="I59" s="6"/>
      <c r="J59" s="147"/>
      <c r="K59" s="10"/>
      <c r="L59" s="158"/>
      <c r="M59" s="176"/>
      <c r="N59" s="176"/>
      <c r="O59" s="156"/>
      <c r="P59" s="156"/>
      <c r="Q59" s="7"/>
      <c r="R59" s="206"/>
      <c r="S59" s="206"/>
      <c r="T59" s="206"/>
      <c r="U59" s="206"/>
      <c r="V59" s="206">
        <f t="shared" si="2"/>
        <v>-10</v>
      </c>
    </row>
    <row r="60" spans="1:22" ht="11.1" customHeight="1">
      <c r="A60" s="7">
        <v>47</v>
      </c>
      <c r="B60" s="7">
        <v>101</v>
      </c>
      <c r="C60" s="10" t="s">
        <v>27</v>
      </c>
      <c r="D60" s="158">
        <v>81.599999999999994</v>
      </c>
      <c r="E60" s="176">
        <v>10</v>
      </c>
      <c r="F60" s="176">
        <v>10</v>
      </c>
      <c r="G60" s="156">
        <v>10</v>
      </c>
      <c r="H60" s="156">
        <v>10</v>
      </c>
      <c r="J60" s="147"/>
      <c r="K60" s="10"/>
      <c r="L60" s="158"/>
      <c r="M60" s="176"/>
      <c r="N60" s="176"/>
      <c r="O60" s="156"/>
      <c r="P60" s="156"/>
      <c r="R60" s="206"/>
      <c r="S60" s="206"/>
      <c r="T60" s="206"/>
      <c r="U60" s="206"/>
      <c r="V60" s="206">
        <f t="shared" si="2"/>
        <v>-7</v>
      </c>
    </row>
    <row r="61" spans="1:22" s="9" customFormat="1" ht="11.1" customHeight="1">
      <c r="A61" s="7">
        <v>48</v>
      </c>
      <c r="B61" s="19">
        <v>519</v>
      </c>
      <c r="C61" s="10" t="s">
        <v>88</v>
      </c>
      <c r="D61" s="158">
        <v>72</v>
      </c>
      <c r="E61" s="176">
        <v>8</v>
      </c>
      <c r="F61" s="176">
        <v>8</v>
      </c>
      <c r="G61" s="156">
        <v>9</v>
      </c>
      <c r="H61" s="156">
        <v>9</v>
      </c>
      <c r="I61" s="6"/>
      <c r="J61" s="147"/>
      <c r="K61" s="10"/>
      <c r="L61" s="158"/>
      <c r="M61" s="176"/>
      <c r="N61" s="176"/>
      <c r="O61" s="156"/>
      <c r="P61" s="156"/>
      <c r="Q61" s="7"/>
      <c r="R61" s="206"/>
      <c r="S61" s="206"/>
      <c r="T61" s="206"/>
      <c r="U61" s="206"/>
      <c r="V61" s="206">
        <f t="shared" si="2"/>
        <v>-10</v>
      </c>
    </row>
    <row r="62" spans="1:22" ht="11.1" customHeight="1">
      <c r="A62" s="7">
        <v>49</v>
      </c>
      <c r="B62" s="7">
        <v>520</v>
      </c>
      <c r="C62" s="10" t="s">
        <v>89</v>
      </c>
      <c r="D62" s="158">
        <v>67</v>
      </c>
      <c r="E62" s="176">
        <v>8</v>
      </c>
      <c r="F62" s="176">
        <v>8</v>
      </c>
      <c r="G62" s="156">
        <v>7.4</v>
      </c>
      <c r="H62" s="156">
        <v>7.4</v>
      </c>
      <c r="J62" s="147"/>
      <c r="K62" s="10"/>
      <c r="L62" s="158"/>
      <c r="M62" s="176"/>
      <c r="N62" s="176"/>
      <c r="O62" s="156"/>
      <c r="P62" s="156"/>
      <c r="R62" s="206"/>
      <c r="S62" s="206"/>
      <c r="T62" s="206"/>
      <c r="U62" s="206"/>
      <c r="V62" s="206">
        <f t="shared" si="2"/>
        <v>-9</v>
      </c>
    </row>
    <row r="63" spans="1:22" ht="11.1" customHeight="1">
      <c r="A63" s="7">
        <v>50</v>
      </c>
      <c r="B63" s="7">
        <v>265</v>
      </c>
      <c r="C63" s="10" t="s">
        <v>315</v>
      </c>
      <c r="D63" s="158">
        <v>85</v>
      </c>
      <c r="E63" s="176">
        <v>10</v>
      </c>
      <c r="F63" s="176">
        <v>10</v>
      </c>
      <c r="G63" s="156">
        <v>10</v>
      </c>
      <c r="H63" s="156">
        <v>10</v>
      </c>
      <c r="J63" s="147"/>
      <c r="K63" s="10"/>
      <c r="L63" s="158"/>
      <c r="M63" s="176"/>
      <c r="N63" s="176"/>
      <c r="O63" s="156"/>
      <c r="P63" s="156"/>
      <c r="R63" s="206"/>
      <c r="S63" s="206"/>
      <c r="T63" s="206"/>
      <c r="U63" s="206"/>
      <c r="V63" s="206">
        <f t="shared" si="2"/>
        <v>-7.4</v>
      </c>
    </row>
    <row r="64" spans="1:22" ht="11.1" customHeight="1">
      <c r="A64" s="7">
        <v>51</v>
      </c>
      <c r="B64" s="7">
        <v>305</v>
      </c>
      <c r="C64" s="10" t="s">
        <v>49</v>
      </c>
      <c r="D64" s="158">
        <v>85.9</v>
      </c>
      <c r="E64" s="176">
        <v>9</v>
      </c>
      <c r="F64" s="176">
        <v>9</v>
      </c>
      <c r="G64" s="156">
        <v>10</v>
      </c>
      <c r="H64" s="156">
        <v>10</v>
      </c>
      <c r="J64" s="147"/>
      <c r="K64" s="10"/>
      <c r="L64" s="158"/>
      <c r="M64" s="176"/>
      <c r="N64" s="176"/>
      <c r="O64" s="156"/>
      <c r="P64" s="156"/>
      <c r="R64" s="206"/>
      <c r="S64" s="206"/>
      <c r="T64" s="206"/>
      <c r="U64" s="206"/>
      <c r="V64" s="206">
        <f t="shared" si="2"/>
        <v>-10</v>
      </c>
    </row>
    <row r="65" spans="1:22" ht="11.1" customHeight="1">
      <c r="A65" s="7">
        <v>52</v>
      </c>
      <c r="B65" s="7">
        <v>226</v>
      </c>
      <c r="C65" s="10" t="s">
        <v>28</v>
      </c>
      <c r="D65" s="158">
        <v>70</v>
      </c>
      <c r="E65" s="176">
        <v>6</v>
      </c>
      <c r="F65" s="176">
        <v>10</v>
      </c>
      <c r="G65" s="156">
        <v>10</v>
      </c>
      <c r="H65" s="156">
        <v>10</v>
      </c>
      <c r="J65" s="147"/>
      <c r="K65" s="10"/>
      <c r="L65" s="158"/>
      <c r="M65" s="176"/>
      <c r="N65" s="176"/>
      <c r="O65" s="156"/>
      <c r="P65" s="156"/>
      <c r="R65" s="206"/>
      <c r="S65" s="206"/>
      <c r="T65" s="206"/>
      <c r="U65" s="206"/>
      <c r="V65" s="206">
        <f t="shared" si="2"/>
        <v>-10</v>
      </c>
    </row>
    <row r="66" spans="1:22" ht="11.1" customHeight="1">
      <c r="A66" s="7">
        <v>53</v>
      </c>
      <c r="B66" s="7">
        <v>722</v>
      </c>
      <c r="C66" s="10" t="s">
        <v>232</v>
      </c>
      <c r="D66" s="158">
        <v>58.9</v>
      </c>
      <c r="E66" s="176">
        <v>10</v>
      </c>
      <c r="F66" s="176">
        <v>10</v>
      </c>
      <c r="G66" s="156">
        <v>8</v>
      </c>
      <c r="H66" s="156">
        <v>10</v>
      </c>
      <c r="I66" s="9"/>
      <c r="J66" s="147"/>
      <c r="K66" s="10"/>
      <c r="L66" s="158"/>
      <c r="M66" s="176"/>
      <c r="N66" s="176"/>
      <c r="O66" s="156"/>
      <c r="P66" s="156"/>
      <c r="Q66" s="9"/>
      <c r="R66" s="206"/>
      <c r="S66" s="206"/>
      <c r="T66" s="206"/>
      <c r="U66" s="206"/>
      <c r="V66" s="206">
        <f t="shared" si="2"/>
        <v>-10</v>
      </c>
    </row>
    <row r="67" spans="1:22" ht="11.1" customHeight="1">
      <c r="A67" s="7">
        <v>54</v>
      </c>
      <c r="B67" s="7">
        <v>414</v>
      </c>
      <c r="C67" s="10" t="s">
        <v>181</v>
      </c>
      <c r="D67" s="158">
        <v>80</v>
      </c>
      <c r="E67" s="176">
        <v>10</v>
      </c>
      <c r="F67" s="176">
        <v>10</v>
      </c>
      <c r="G67" s="156">
        <v>9</v>
      </c>
      <c r="H67" s="156">
        <v>10</v>
      </c>
      <c r="J67" s="147"/>
      <c r="K67" s="10"/>
      <c r="L67" s="158"/>
      <c r="M67" s="176"/>
      <c r="N67" s="176"/>
      <c r="O67" s="156"/>
      <c r="P67" s="156"/>
      <c r="R67" s="206"/>
      <c r="S67" s="206"/>
      <c r="T67" s="206"/>
      <c r="U67" s="206"/>
      <c r="V67" s="206">
        <f t="shared" si="2"/>
        <v>-10</v>
      </c>
    </row>
    <row r="68" spans="1:22" ht="11.1" customHeight="1">
      <c r="A68" s="7">
        <v>55</v>
      </c>
      <c r="B68" s="7">
        <v>808</v>
      </c>
      <c r="C68" s="10" t="s">
        <v>68</v>
      </c>
      <c r="D68" s="158">
        <v>81</v>
      </c>
      <c r="E68" s="175">
        <v>8</v>
      </c>
      <c r="F68" s="175">
        <v>8</v>
      </c>
      <c r="G68" s="156">
        <v>10</v>
      </c>
      <c r="H68" s="156">
        <v>10</v>
      </c>
      <c r="J68" s="147"/>
      <c r="K68" s="10"/>
      <c r="L68" s="158"/>
      <c r="M68" s="176"/>
      <c r="N68" s="176"/>
      <c r="O68" s="156"/>
      <c r="P68" s="156"/>
      <c r="R68" s="206"/>
      <c r="S68" s="206"/>
      <c r="T68" s="206"/>
      <c r="U68" s="206"/>
      <c r="V68" s="206">
        <f t="shared" si="2"/>
        <v>-10</v>
      </c>
    </row>
    <row r="69" spans="1:22" ht="11.1" customHeight="1">
      <c r="A69" s="7">
        <v>56</v>
      </c>
      <c r="B69" s="7">
        <v>227</v>
      </c>
      <c r="C69" s="10" t="s">
        <v>29</v>
      </c>
      <c r="D69" s="158">
        <v>67.8</v>
      </c>
      <c r="E69" s="176">
        <v>6</v>
      </c>
      <c r="F69" s="176">
        <v>10</v>
      </c>
      <c r="G69" s="156">
        <v>10</v>
      </c>
      <c r="H69" s="156">
        <v>10</v>
      </c>
      <c r="J69" s="147"/>
      <c r="K69" s="10"/>
      <c r="L69" s="158"/>
      <c r="M69" s="175"/>
      <c r="N69" s="175"/>
      <c r="O69" s="156"/>
      <c r="P69" s="156"/>
      <c r="R69" s="206"/>
      <c r="S69" s="206"/>
      <c r="T69" s="206"/>
      <c r="U69" s="206"/>
      <c r="V69" s="206">
        <f t="shared" si="2"/>
        <v>-10</v>
      </c>
    </row>
    <row r="70" spans="1:22" ht="11.1" customHeight="1">
      <c r="A70" s="7">
        <v>57</v>
      </c>
      <c r="B70" s="7">
        <v>619</v>
      </c>
      <c r="C70" s="10" t="s">
        <v>111</v>
      </c>
      <c r="D70" s="158">
        <v>77</v>
      </c>
      <c r="E70" s="176">
        <v>10</v>
      </c>
      <c r="F70" s="176">
        <v>10</v>
      </c>
      <c r="G70" s="156">
        <v>10</v>
      </c>
      <c r="H70" s="156">
        <v>10</v>
      </c>
      <c r="J70" s="147"/>
      <c r="K70" s="10"/>
      <c r="L70" s="158"/>
      <c r="M70" s="176"/>
      <c r="N70" s="176"/>
      <c r="O70" s="156"/>
      <c r="P70" s="156"/>
      <c r="R70" s="206"/>
      <c r="S70" s="206"/>
      <c r="T70" s="206"/>
      <c r="U70" s="206"/>
      <c r="V70" s="206">
        <f t="shared" si="2"/>
        <v>-10</v>
      </c>
    </row>
    <row r="71" spans="1:22" ht="11.1" customHeight="1">
      <c r="A71" s="7">
        <v>58</v>
      </c>
      <c r="B71" s="7">
        <v>521</v>
      </c>
      <c r="C71" s="10" t="s">
        <v>90</v>
      </c>
      <c r="D71" s="158">
        <v>32</v>
      </c>
      <c r="E71" s="176">
        <v>8</v>
      </c>
      <c r="F71" s="176">
        <v>8</v>
      </c>
      <c r="G71" s="156">
        <v>10</v>
      </c>
      <c r="H71" s="156">
        <v>10</v>
      </c>
      <c r="J71" s="147"/>
      <c r="K71" s="10"/>
      <c r="L71" s="158"/>
      <c r="M71" s="176"/>
      <c r="N71" s="176"/>
      <c r="O71" s="156"/>
      <c r="P71" s="156"/>
      <c r="R71" s="206"/>
      <c r="S71" s="206"/>
      <c r="T71" s="206"/>
      <c r="U71" s="206"/>
      <c r="V71" s="206">
        <f t="shared" si="2"/>
        <v>-10</v>
      </c>
    </row>
    <row r="72" spans="1:22" ht="11.1" customHeight="1">
      <c r="A72" s="7">
        <v>59</v>
      </c>
      <c r="B72" s="7">
        <v>229</v>
      </c>
      <c r="C72" s="10" t="s">
        <v>30</v>
      </c>
      <c r="D72" s="158">
        <v>85</v>
      </c>
      <c r="E72" s="176">
        <v>10</v>
      </c>
      <c r="F72" s="176">
        <v>10</v>
      </c>
      <c r="G72" s="156">
        <v>10</v>
      </c>
      <c r="H72" s="156">
        <v>10</v>
      </c>
      <c r="J72" s="147"/>
      <c r="K72" s="10"/>
      <c r="L72" s="158"/>
      <c r="M72" s="176"/>
      <c r="N72" s="176"/>
      <c r="O72" s="156"/>
      <c r="P72" s="156"/>
      <c r="R72" s="206"/>
      <c r="S72" s="206"/>
      <c r="T72" s="206"/>
      <c r="U72" s="206"/>
      <c r="V72" s="206">
        <f t="shared" si="2"/>
        <v>-10</v>
      </c>
    </row>
    <row r="73" spans="1:22" ht="11.1" customHeight="1">
      <c r="A73" s="7">
        <v>60</v>
      </c>
      <c r="B73" s="7">
        <v>415</v>
      </c>
      <c r="C73" s="10" t="s">
        <v>182</v>
      </c>
      <c r="D73" s="158">
        <v>75.599999999999994</v>
      </c>
      <c r="E73" s="176">
        <v>8</v>
      </c>
      <c r="F73" s="176">
        <v>8</v>
      </c>
      <c r="G73" s="156">
        <v>9</v>
      </c>
      <c r="H73" s="156">
        <v>10</v>
      </c>
      <c r="J73" s="147"/>
      <c r="K73" s="10"/>
      <c r="L73" s="158"/>
      <c r="M73" s="176"/>
      <c r="N73" s="176"/>
      <c r="O73" s="156"/>
      <c r="P73" s="156"/>
      <c r="R73" s="206"/>
      <c r="S73" s="206"/>
      <c r="T73" s="206"/>
      <c r="U73" s="206"/>
      <c r="V73" s="206">
        <f t="shared" si="2"/>
        <v>-10</v>
      </c>
    </row>
    <row r="74" spans="1:22" s="9" customFormat="1" ht="11.1" customHeight="1">
      <c r="A74" s="7">
        <v>61</v>
      </c>
      <c r="B74" s="7">
        <v>522</v>
      </c>
      <c r="C74" s="12" t="s">
        <v>91</v>
      </c>
      <c r="D74" s="158">
        <v>80</v>
      </c>
      <c r="E74" s="176">
        <v>10</v>
      </c>
      <c r="F74" s="176">
        <v>10</v>
      </c>
      <c r="G74" s="156">
        <v>10</v>
      </c>
      <c r="H74" s="156">
        <v>10</v>
      </c>
      <c r="I74" s="6"/>
      <c r="J74" s="147"/>
      <c r="K74" s="10"/>
      <c r="L74" s="158"/>
      <c r="M74" s="176"/>
      <c r="N74" s="176"/>
      <c r="O74" s="156"/>
      <c r="P74" s="156"/>
      <c r="Q74" s="7"/>
      <c r="R74" s="206"/>
      <c r="S74" s="206"/>
      <c r="T74" s="206"/>
      <c r="U74" s="206"/>
      <c r="V74" s="206">
        <f t="shared" si="2"/>
        <v>-10</v>
      </c>
    </row>
    <row r="75" spans="1:22" ht="11.1" customHeight="1">
      <c r="A75" s="7">
        <v>62</v>
      </c>
      <c r="B75" s="7">
        <v>262</v>
      </c>
      <c r="C75" s="12" t="s">
        <v>31</v>
      </c>
      <c r="D75" s="158">
        <v>74</v>
      </c>
      <c r="E75" s="176">
        <v>8</v>
      </c>
      <c r="F75" s="176">
        <v>8</v>
      </c>
      <c r="G75" s="156">
        <v>10</v>
      </c>
      <c r="H75" s="156">
        <v>10</v>
      </c>
      <c r="J75" s="150"/>
      <c r="K75" s="12"/>
      <c r="L75" s="158"/>
      <c r="M75" s="176"/>
      <c r="N75" s="176"/>
      <c r="O75" s="156"/>
      <c r="P75" s="156"/>
      <c r="R75" s="206"/>
      <c r="S75" s="206"/>
      <c r="T75" s="206"/>
      <c r="U75" s="206"/>
      <c r="V75" s="206">
        <f t="shared" si="2"/>
        <v>-10</v>
      </c>
    </row>
    <row r="76" spans="1:22" ht="11.1" customHeight="1">
      <c r="A76" s="7">
        <v>63</v>
      </c>
      <c r="B76" s="7">
        <v>417</v>
      </c>
      <c r="C76" s="10" t="s">
        <v>183</v>
      </c>
      <c r="D76" s="158">
        <v>77.7</v>
      </c>
      <c r="E76" s="176">
        <v>10</v>
      </c>
      <c r="F76" s="176">
        <v>10</v>
      </c>
      <c r="G76" s="156">
        <v>9</v>
      </c>
      <c r="H76" s="156">
        <v>10</v>
      </c>
      <c r="J76" s="147"/>
      <c r="K76" s="12"/>
      <c r="L76" s="158"/>
      <c r="M76" s="176"/>
      <c r="N76" s="176"/>
      <c r="O76" s="156"/>
      <c r="P76" s="156"/>
      <c r="R76" s="206"/>
      <c r="S76" s="206"/>
      <c r="T76" s="206"/>
      <c r="U76" s="206"/>
      <c r="V76" s="206">
        <f t="shared" si="2"/>
        <v>-10</v>
      </c>
    </row>
    <row r="77" spans="1:22" ht="11.1" customHeight="1">
      <c r="A77" s="7">
        <v>64</v>
      </c>
      <c r="B77" s="7">
        <v>401</v>
      </c>
      <c r="C77" s="12" t="s">
        <v>73</v>
      </c>
      <c r="D77" s="158">
        <v>97</v>
      </c>
      <c r="E77" s="176">
        <v>10</v>
      </c>
      <c r="F77" s="176">
        <v>10</v>
      </c>
      <c r="G77" s="156">
        <v>9</v>
      </c>
      <c r="H77" s="156">
        <v>10</v>
      </c>
      <c r="J77" s="147"/>
      <c r="K77" s="10"/>
      <c r="L77" s="158"/>
      <c r="M77" s="176"/>
      <c r="N77" s="176"/>
      <c r="O77" s="156"/>
      <c r="P77" s="156"/>
      <c r="R77" s="206"/>
      <c r="S77" s="206"/>
      <c r="T77" s="206"/>
      <c r="U77" s="206"/>
      <c r="V77" s="206">
        <f t="shared" si="2"/>
        <v>-10</v>
      </c>
    </row>
    <row r="78" spans="1:22" ht="11.1" customHeight="1">
      <c r="A78" s="7">
        <v>65</v>
      </c>
      <c r="B78" s="7">
        <v>306</v>
      </c>
      <c r="C78" s="10" t="s">
        <v>50</v>
      </c>
      <c r="D78" s="158">
        <v>81</v>
      </c>
      <c r="E78" s="176">
        <v>10</v>
      </c>
      <c r="F78" s="176">
        <v>10</v>
      </c>
      <c r="G78" s="156">
        <v>10</v>
      </c>
      <c r="H78" s="156">
        <v>10</v>
      </c>
      <c r="J78" s="147"/>
      <c r="K78" s="12"/>
      <c r="L78" s="158"/>
      <c r="M78" s="176"/>
      <c r="N78" s="176"/>
      <c r="O78" s="156"/>
      <c r="P78" s="156"/>
      <c r="R78" s="206"/>
      <c r="S78" s="206"/>
      <c r="T78" s="206"/>
      <c r="U78" s="206"/>
      <c r="V78" s="206">
        <f t="shared" si="2"/>
        <v>-10</v>
      </c>
    </row>
    <row r="79" spans="1:22" ht="11.1" customHeight="1">
      <c r="A79" s="7">
        <v>66</v>
      </c>
      <c r="B79" s="7">
        <v>418</v>
      </c>
      <c r="C79" s="10" t="s">
        <v>184</v>
      </c>
      <c r="D79" s="158">
        <v>100</v>
      </c>
      <c r="E79" s="176">
        <v>5</v>
      </c>
      <c r="F79" s="176">
        <v>10</v>
      </c>
      <c r="G79" s="156">
        <v>9</v>
      </c>
      <c r="H79" s="156">
        <v>10</v>
      </c>
      <c r="J79" s="147"/>
      <c r="K79" s="10"/>
      <c r="L79" s="158"/>
      <c r="M79" s="176"/>
      <c r="N79" s="176"/>
      <c r="O79" s="156"/>
      <c r="P79" s="156"/>
      <c r="R79" s="206"/>
      <c r="S79" s="206"/>
      <c r="T79" s="206"/>
      <c r="U79" s="206"/>
      <c r="V79" s="206">
        <f t="shared" si="2"/>
        <v>-10</v>
      </c>
    </row>
    <row r="80" spans="1:22" ht="11.1" customHeight="1">
      <c r="A80" s="7">
        <v>67</v>
      </c>
      <c r="B80" s="7">
        <v>525</v>
      </c>
      <c r="C80" s="10" t="s">
        <v>94</v>
      </c>
      <c r="D80" s="158">
        <v>85</v>
      </c>
      <c r="E80" s="176">
        <v>8</v>
      </c>
      <c r="F80" s="176">
        <v>8</v>
      </c>
      <c r="G80" s="156">
        <v>7</v>
      </c>
      <c r="H80" s="156">
        <v>7</v>
      </c>
      <c r="I80" s="13"/>
      <c r="J80" s="147"/>
      <c r="K80" s="10"/>
      <c r="L80" s="158"/>
      <c r="M80" s="176"/>
      <c r="N80" s="176"/>
      <c r="O80" s="156"/>
      <c r="P80" s="156"/>
      <c r="R80" s="206"/>
      <c r="S80" s="206"/>
      <c r="T80" s="206"/>
      <c r="U80" s="206"/>
      <c r="V80" s="206">
        <f t="shared" si="2"/>
        <v>-10</v>
      </c>
    </row>
    <row r="81" spans="1:22" ht="11.1" customHeight="1">
      <c r="A81" s="7">
        <v>68</v>
      </c>
      <c r="B81" s="7">
        <v>526</v>
      </c>
      <c r="C81" s="10" t="s">
        <v>95</v>
      </c>
      <c r="D81" s="158">
        <v>60</v>
      </c>
      <c r="E81" s="176">
        <v>10</v>
      </c>
      <c r="F81" s="176">
        <v>10</v>
      </c>
      <c r="G81" s="156">
        <v>10</v>
      </c>
      <c r="H81" s="156">
        <v>10</v>
      </c>
      <c r="J81" s="147"/>
      <c r="K81" s="10"/>
      <c r="L81" s="158"/>
      <c r="M81" s="176"/>
      <c r="N81" s="176"/>
      <c r="O81" s="156"/>
      <c r="P81" s="156"/>
      <c r="R81" s="206"/>
      <c r="S81" s="206"/>
      <c r="T81" s="206"/>
      <c r="U81" s="206"/>
      <c r="V81" s="206">
        <f t="shared" si="2"/>
        <v>-7</v>
      </c>
    </row>
    <row r="82" spans="1:22" ht="11.1" customHeight="1">
      <c r="A82" s="7">
        <v>69</v>
      </c>
      <c r="B82" s="7">
        <v>263</v>
      </c>
      <c r="C82" s="12" t="s">
        <v>142</v>
      </c>
      <c r="D82" s="158">
        <v>91.4</v>
      </c>
      <c r="E82" s="176">
        <v>10</v>
      </c>
      <c r="F82" s="176">
        <v>10</v>
      </c>
      <c r="G82" s="156">
        <v>10</v>
      </c>
      <c r="H82" s="156">
        <v>10</v>
      </c>
      <c r="J82" s="147"/>
      <c r="K82" s="10"/>
      <c r="L82" s="158"/>
      <c r="M82" s="176"/>
      <c r="N82" s="176"/>
      <c r="O82" s="156"/>
      <c r="P82" s="156"/>
      <c r="R82" s="206"/>
      <c r="S82" s="206"/>
      <c r="T82" s="206"/>
      <c r="U82" s="206"/>
      <c r="V82" s="206">
        <f t="shared" si="2"/>
        <v>-10</v>
      </c>
    </row>
    <row r="83" spans="1:22" ht="11.1" customHeight="1">
      <c r="A83" s="7">
        <v>70</v>
      </c>
      <c r="B83" s="147">
        <v>656</v>
      </c>
      <c r="C83" s="148" t="s">
        <v>214</v>
      </c>
      <c r="D83" s="153">
        <v>87.1</v>
      </c>
      <c r="E83" s="175">
        <v>10</v>
      </c>
      <c r="F83" s="175">
        <v>10</v>
      </c>
      <c r="G83" s="156">
        <v>10</v>
      </c>
      <c r="H83" s="156">
        <v>10</v>
      </c>
      <c r="J83" s="147"/>
      <c r="K83" s="12"/>
      <c r="L83" s="158"/>
      <c r="M83" s="176"/>
      <c r="N83" s="176"/>
      <c r="O83" s="156"/>
      <c r="P83" s="156"/>
      <c r="R83" s="206"/>
      <c r="S83" s="206"/>
      <c r="T83" s="206"/>
      <c r="U83" s="206"/>
      <c r="V83" s="206">
        <f t="shared" si="2"/>
        <v>-10</v>
      </c>
    </row>
    <row r="84" spans="1:22" ht="11.1" customHeight="1">
      <c r="A84" s="7">
        <v>71</v>
      </c>
      <c r="B84" s="7">
        <v>429</v>
      </c>
      <c r="C84" s="10" t="s">
        <v>190</v>
      </c>
      <c r="D84" s="158">
        <v>100</v>
      </c>
      <c r="E84" s="176">
        <v>10</v>
      </c>
      <c r="F84" s="176">
        <v>10</v>
      </c>
      <c r="G84" s="156">
        <v>9</v>
      </c>
      <c r="H84" s="156">
        <v>10</v>
      </c>
      <c r="J84" s="147"/>
      <c r="K84" s="148"/>
      <c r="L84" s="153"/>
      <c r="M84" s="175"/>
      <c r="N84" s="175"/>
      <c r="O84" s="156"/>
      <c r="P84" s="156"/>
      <c r="R84" s="206"/>
      <c r="S84" s="206"/>
      <c r="T84" s="206"/>
      <c r="U84" s="206"/>
      <c r="V84" s="206">
        <f t="shared" ref="V84:V115" si="3">+P84-H83</f>
        <v>-10</v>
      </c>
    </row>
    <row r="85" spans="1:22" ht="11.1" customHeight="1">
      <c r="A85" s="7">
        <v>72</v>
      </c>
      <c r="B85" s="7">
        <v>264</v>
      </c>
      <c r="C85" s="10" t="s">
        <v>276</v>
      </c>
      <c r="D85" s="158">
        <v>100</v>
      </c>
      <c r="E85" s="176">
        <v>8</v>
      </c>
      <c r="F85" s="176">
        <v>10</v>
      </c>
      <c r="G85" s="156">
        <v>10</v>
      </c>
      <c r="H85" s="156">
        <v>10</v>
      </c>
      <c r="J85" s="147"/>
      <c r="K85" s="10"/>
      <c r="L85" s="158"/>
      <c r="M85" s="176"/>
      <c r="N85" s="176"/>
      <c r="O85" s="156"/>
      <c r="P85" s="156"/>
      <c r="R85" s="206"/>
      <c r="S85" s="206"/>
      <c r="T85" s="206"/>
      <c r="U85" s="206"/>
      <c r="V85" s="206">
        <f t="shared" si="3"/>
        <v>-10</v>
      </c>
    </row>
    <row r="86" spans="1:22" ht="11.1" customHeight="1">
      <c r="A86" s="7">
        <v>73</v>
      </c>
      <c r="B86" s="7">
        <v>818</v>
      </c>
      <c r="C86" s="10" t="s">
        <v>208</v>
      </c>
      <c r="D86" s="158">
        <v>86</v>
      </c>
      <c r="E86" s="175">
        <v>10</v>
      </c>
      <c r="F86" s="175">
        <v>10</v>
      </c>
      <c r="G86" s="156">
        <v>10</v>
      </c>
      <c r="H86" s="156">
        <v>10</v>
      </c>
      <c r="J86" s="147"/>
      <c r="K86" s="10"/>
      <c r="L86" s="158"/>
      <c r="M86" s="176"/>
      <c r="N86" s="176"/>
      <c r="O86" s="156"/>
      <c r="P86" s="156"/>
      <c r="R86" s="206"/>
      <c r="S86" s="206"/>
      <c r="T86" s="206"/>
      <c r="U86" s="206"/>
      <c r="V86" s="206">
        <f t="shared" si="3"/>
        <v>-10</v>
      </c>
    </row>
    <row r="87" spans="1:22" ht="11.1" customHeight="1">
      <c r="A87" s="7">
        <v>74</v>
      </c>
      <c r="B87" s="7">
        <v>607</v>
      </c>
      <c r="C87" s="10" t="s">
        <v>108</v>
      </c>
      <c r="D87" s="158">
        <v>63</v>
      </c>
      <c r="E87" s="176">
        <v>10</v>
      </c>
      <c r="F87" s="176">
        <v>10</v>
      </c>
      <c r="G87" s="156">
        <v>10</v>
      </c>
      <c r="H87" s="156">
        <v>10</v>
      </c>
      <c r="J87" s="147"/>
      <c r="K87" s="10"/>
      <c r="L87" s="158"/>
      <c r="M87" s="175"/>
      <c r="N87" s="175"/>
      <c r="O87" s="156"/>
      <c r="P87" s="156"/>
      <c r="R87" s="206"/>
      <c r="S87" s="206"/>
      <c r="T87" s="206"/>
      <c r="U87" s="206"/>
      <c r="V87" s="206">
        <f t="shared" si="3"/>
        <v>-10</v>
      </c>
    </row>
    <row r="88" spans="1:22" ht="11.1" customHeight="1">
      <c r="A88" s="7">
        <v>75</v>
      </c>
      <c r="B88" s="7">
        <v>817</v>
      </c>
      <c r="C88" s="10" t="s">
        <v>274</v>
      </c>
      <c r="D88" s="158">
        <v>93.8</v>
      </c>
      <c r="E88" s="175">
        <v>10</v>
      </c>
      <c r="F88" s="175">
        <v>10</v>
      </c>
      <c r="G88" s="156">
        <v>10</v>
      </c>
      <c r="H88" s="156">
        <v>10</v>
      </c>
      <c r="J88" s="147"/>
      <c r="K88" s="10"/>
      <c r="L88" s="158"/>
      <c r="M88" s="176"/>
      <c r="N88" s="176"/>
      <c r="O88" s="156"/>
      <c r="P88" s="156"/>
      <c r="R88" s="206"/>
      <c r="S88" s="206"/>
      <c r="T88" s="206"/>
      <c r="U88" s="206"/>
      <c r="V88" s="206">
        <f t="shared" si="3"/>
        <v>-10</v>
      </c>
    </row>
    <row r="89" spans="1:22" ht="11.1" customHeight="1">
      <c r="A89" s="7">
        <v>76</v>
      </c>
      <c r="B89" s="7">
        <v>249</v>
      </c>
      <c r="C89" s="12" t="s">
        <v>74</v>
      </c>
      <c r="D89" s="158">
        <v>80</v>
      </c>
      <c r="E89" s="176">
        <v>10</v>
      </c>
      <c r="F89" s="176">
        <v>10</v>
      </c>
      <c r="G89" s="156">
        <v>10</v>
      </c>
      <c r="H89" s="156">
        <v>10</v>
      </c>
      <c r="J89" s="147"/>
      <c r="K89" s="10"/>
      <c r="L89" s="158"/>
      <c r="M89" s="175"/>
      <c r="N89" s="175"/>
      <c r="O89" s="156"/>
      <c r="P89" s="156"/>
      <c r="R89" s="206"/>
      <c r="S89" s="206"/>
      <c r="T89" s="206"/>
      <c r="U89" s="206"/>
      <c r="V89" s="206">
        <f t="shared" si="3"/>
        <v>-10</v>
      </c>
    </row>
    <row r="90" spans="1:22" ht="11.1" customHeight="1">
      <c r="A90" s="7">
        <v>77</v>
      </c>
      <c r="B90" s="7">
        <v>425</v>
      </c>
      <c r="C90" s="10" t="s">
        <v>187</v>
      </c>
      <c r="D90" s="158">
        <v>79.7</v>
      </c>
      <c r="E90" s="176">
        <v>8</v>
      </c>
      <c r="F90" s="176">
        <v>8</v>
      </c>
      <c r="G90" s="156">
        <v>9</v>
      </c>
      <c r="H90" s="156">
        <v>10</v>
      </c>
      <c r="J90" s="147"/>
      <c r="K90" s="12"/>
      <c r="L90" s="158"/>
      <c r="M90" s="176"/>
      <c r="N90" s="176"/>
      <c r="O90" s="156"/>
      <c r="P90" s="156"/>
      <c r="R90" s="206"/>
      <c r="S90" s="206"/>
      <c r="T90" s="206"/>
      <c r="U90" s="206"/>
      <c r="V90" s="206">
        <f t="shared" si="3"/>
        <v>-10</v>
      </c>
    </row>
    <row r="91" spans="1:22" ht="11.1" customHeight="1">
      <c r="A91" s="7">
        <v>78</v>
      </c>
      <c r="B91" s="7">
        <v>750</v>
      </c>
      <c r="C91" s="10" t="s">
        <v>273</v>
      </c>
      <c r="D91" s="158">
        <v>77.400000000000006</v>
      </c>
      <c r="E91" s="176">
        <v>10</v>
      </c>
      <c r="F91" s="176">
        <v>10</v>
      </c>
      <c r="G91" s="156">
        <v>8</v>
      </c>
      <c r="H91" s="156">
        <v>10</v>
      </c>
      <c r="I91" s="13"/>
      <c r="J91" s="147"/>
      <c r="K91" s="10"/>
      <c r="L91" s="158"/>
      <c r="M91" s="176"/>
      <c r="N91" s="176"/>
      <c r="O91" s="156"/>
      <c r="P91" s="156"/>
      <c r="R91" s="206"/>
      <c r="S91" s="206"/>
      <c r="T91" s="206"/>
      <c r="U91" s="206"/>
      <c r="V91" s="206">
        <f t="shared" si="3"/>
        <v>-10</v>
      </c>
    </row>
    <row r="92" spans="1:22" ht="11.1" customHeight="1">
      <c r="A92" s="7">
        <v>79</v>
      </c>
      <c r="B92" s="7">
        <v>725</v>
      </c>
      <c r="C92" s="10" t="s">
        <v>234</v>
      </c>
      <c r="D92" s="158">
        <v>80</v>
      </c>
      <c r="E92" s="176">
        <v>8</v>
      </c>
      <c r="F92" s="176">
        <v>8</v>
      </c>
      <c r="G92" s="156">
        <v>8</v>
      </c>
      <c r="H92" s="156">
        <v>10</v>
      </c>
      <c r="J92" s="147"/>
      <c r="K92" s="10"/>
      <c r="L92" s="158"/>
      <c r="M92" s="176"/>
      <c r="N92" s="176"/>
      <c r="O92" s="156"/>
      <c r="P92" s="156"/>
      <c r="R92" s="206"/>
      <c r="S92" s="206"/>
      <c r="T92" s="206"/>
      <c r="U92" s="206"/>
      <c r="V92" s="206">
        <f t="shared" si="3"/>
        <v>-10</v>
      </c>
    </row>
    <row r="93" spans="1:22" ht="11.1" customHeight="1">
      <c r="A93" s="7">
        <v>80</v>
      </c>
      <c r="B93" s="7">
        <v>235</v>
      </c>
      <c r="C93" s="10" t="s">
        <v>32</v>
      </c>
      <c r="D93" s="158">
        <v>80</v>
      </c>
      <c r="E93" s="176">
        <v>10</v>
      </c>
      <c r="F93" s="176">
        <v>10</v>
      </c>
      <c r="G93" s="156">
        <v>10</v>
      </c>
      <c r="H93" s="156">
        <v>10</v>
      </c>
      <c r="J93" s="147"/>
      <c r="K93" s="10"/>
      <c r="L93" s="158"/>
      <c r="M93" s="176"/>
      <c r="N93" s="176"/>
      <c r="O93" s="156"/>
      <c r="P93" s="156"/>
      <c r="R93" s="206"/>
      <c r="S93" s="206"/>
      <c r="T93" s="206"/>
      <c r="U93" s="206"/>
      <c r="V93" s="206">
        <f t="shared" si="3"/>
        <v>-10</v>
      </c>
    </row>
    <row r="94" spans="1:22" ht="11.1" customHeight="1">
      <c r="A94" s="7">
        <v>81</v>
      </c>
      <c r="B94" s="7">
        <v>420</v>
      </c>
      <c r="C94" s="10" t="s">
        <v>185</v>
      </c>
      <c r="D94" s="158">
        <v>75</v>
      </c>
      <c r="E94" s="176">
        <v>4</v>
      </c>
      <c r="F94" s="176">
        <v>4</v>
      </c>
      <c r="G94" s="156">
        <v>9</v>
      </c>
      <c r="H94" s="156">
        <v>10</v>
      </c>
      <c r="J94" s="147"/>
      <c r="K94" s="10"/>
      <c r="L94" s="158"/>
      <c r="M94" s="176"/>
      <c r="N94" s="176"/>
      <c r="O94" s="156"/>
      <c r="P94" s="156"/>
      <c r="R94" s="206"/>
      <c r="S94" s="206"/>
      <c r="T94" s="206"/>
      <c r="U94" s="206"/>
      <c r="V94" s="206">
        <f t="shared" si="3"/>
        <v>-10</v>
      </c>
    </row>
    <row r="95" spans="1:22" ht="11.1" customHeight="1">
      <c r="A95" s="7">
        <v>82</v>
      </c>
      <c r="B95" s="7">
        <v>626</v>
      </c>
      <c r="C95" s="10" t="s">
        <v>112</v>
      </c>
      <c r="D95" s="158">
        <v>86.9</v>
      </c>
      <c r="E95" s="176">
        <v>10</v>
      </c>
      <c r="F95" s="176">
        <v>10</v>
      </c>
      <c r="G95" s="156">
        <v>10</v>
      </c>
      <c r="H95" s="156">
        <v>10</v>
      </c>
      <c r="J95" s="147"/>
      <c r="K95" s="10"/>
      <c r="L95" s="158"/>
      <c r="M95" s="176"/>
      <c r="N95" s="176"/>
      <c r="O95" s="156"/>
      <c r="P95" s="156"/>
      <c r="R95" s="206"/>
      <c r="S95" s="206"/>
      <c r="T95" s="206"/>
      <c r="U95" s="206"/>
      <c r="V95" s="206">
        <f t="shared" si="3"/>
        <v>-10</v>
      </c>
    </row>
    <row r="96" spans="1:22" ht="11.1" customHeight="1">
      <c r="A96" s="7">
        <v>83</v>
      </c>
      <c r="B96" s="7">
        <v>237</v>
      </c>
      <c r="C96" s="10" t="s">
        <v>33</v>
      </c>
      <c r="D96" s="158">
        <v>80</v>
      </c>
      <c r="E96" s="176">
        <v>8</v>
      </c>
      <c r="F96" s="176">
        <v>10</v>
      </c>
      <c r="G96" s="156">
        <v>10</v>
      </c>
      <c r="H96" s="156">
        <v>10</v>
      </c>
      <c r="J96" s="147"/>
      <c r="K96" s="10"/>
      <c r="L96" s="158"/>
      <c r="M96" s="176"/>
      <c r="N96" s="176"/>
      <c r="O96" s="156"/>
      <c r="P96" s="156"/>
      <c r="R96" s="206"/>
      <c r="S96" s="206"/>
      <c r="T96" s="206"/>
      <c r="U96" s="206"/>
      <c r="V96" s="206">
        <f t="shared" si="3"/>
        <v>-10</v>
      </c>
    </row>
    <row r="97" spans="1:22" ht="11.1" customHeight="1">
      <c r="A97" s="7">
        <v>84</v>
      </c>
      <c r="B97" s="19">
        <v>727</v>
      </c>
      <c r="C97" s="10" t="s">
        <v>235</v>
      </c>
      <c r="D97" s="158">
        <v>88.1</v>
      </c>
      <c r="E97" s="176">
        <v>10</v>
      </c>
      <c r="F97" s="176">
        <v>10</v>
      </c>
      <c r="G97" s="156">
        <v>8</v>
      </c>
      <c r="H97" s="156">
        <v>10</v>
      </c>
      <c r="J97" s="147"/>
      <c r="K97" s="10"/>
      <c r="L97" s="158"/>
      <c r="M97" s="176"/>
      <c r="N97" s="176"/>
      <c r="O97" s="156"/>
      <c r="P97" s="156"/>
      <c r="R97" s="206"/>
      <c r="S97" s="206"/>
      <c r="T97" s="206"/>
      <c r="U97" s="206"/>
      <c r="V97" s="206">
        <f t="shared" si="3"/>
        <v>-10</v>
      </c>
    </row>
    <row r="98" spans="1:22" ht="11.1" customHeight="1">
      <c r="A98" s="7">
        <v>85</v>
      </c>
      <c r="B98" s="7">
        <v>531</v>
      </c>
      <c r="C98" s="10" t="s">
        <v>97</v>
      </c>
      <c r="D98" s="158">
        <v>52.3</v>
      </c>
      <c r="E98" s="176">
        <v>8</v>
      </c>
      <c r="F98" s="176">
        <v>8</v>
      </c>
      <c r="G98" s="156">
        <v>10</v>
      </c>
      <c r="H98" s="156">
        <v>10</v>
      </c>
      <c r="J98" s="147"/>
      <c r="K98" s="10"/>
      <c r="L98" s="158"/>
      <c r="M98" s="176"/>
      <c r="N98" s="176"/>
      <c r="O98" s="156"/>
      <c r="P98" s="156"/>
      <c r="R98" s="206"/>
      <c r="S98" s="206"/>
      <c r="T98" s="206"/>
      <c r="U98" s="206"/>
      <c r="V98" s="206">
        <f t="shared" si="3"/>
        <v>-10</v>
      </c>
    </row>
    <row r="99" spans="1:22" ht="11.1" customHeight="1">
      <c r="A99" s="7">
        <v>86</v>
      </c>
      <c r="B99" s="7">
        <v>627</v>
      </c>
      <c r="C99" s="10" t="s">
        <v>113</v>
      </c>
      <c r="D99" s="158">
        <v>83</v>
      </c>
      <c r="E99" s="176">
        <v>10</v>
      </c>
      <c r="F99" s="176">
        <v>10</v>
      </c>
      <c r="G99" s="156">
        <v>10</v>
      </c>
      <c r="H99" s="156">
        <v>10</v>
      </c>
      <c r="J99" s="147"/>
      <c r="K99" s="10"/>
      <c r="L99" s="158"/>
      <c r="M99" s="176"/>
      <c r="N99" s="176"/>
      <c r="O99" s="156"/>
      <c r="P99" s="156"/>
      <c r="R99" s="206"/>
      <c r="S99" s="206"/>
      <c r="T99" s="206"/>
      <c r="U99" s="206"/>
      <c r="V99" s="206">
        <f t="shared" si="3"/>
        <v>-10</v>
      </c>
    </row>
    <row r="100" spans="1:22" ht="11.1" customHeight="1">
      <c r="A100" s="7">
        <v>87</v>
      </c>
      <c r="B100" s="7">
        <v>532</v>
      </c>
      <c r="C100" s="10" t="s">
        <v>98</v>
      </c>
      <c r="D100" s="158">
        <v>92.6</v>
      </c>
      <c r="E100" s="176">
        <v>10</v>
      </c>
      <c r="F100" s="176">
        <v>10</v>
      </c>
      <c r="G100" s="156">
        <v>10</v>
      </c>
      <c r="H100" s="156">
        <v>10</v>
      </c>
      <c r="I100" s="9"/>
      <c r="J100" s="147"/>
      <c r="K100" s="10"/>
      <c r="L100" s="158"/>
      <c r="M100" s="176"/>
      <c r="N100" s="176"/>
      <c r="O100" s="156"/>
      <c r="P100" s="156"/>
      <c r="Q100" s="9"/>
      <c r="R100" s="206"/>
      <c r="S100" s="206"/>
      <c r="T100" s="206"/>
      <c r="U100" s="206"/>
      <c r="V100" s="206">
        <f t="shared" si="3"/>
        <v>-10</v>
      </c>
    </row>
    <row r="101" spans="1:22" ht="11.1" customHeight="1">
      <c r="A101" s="7">
        <v>88</v>
      </c>
      <c r="B101" s="7">
        <v>729</v>
      </c>
      <c r="C101" s="10" t="s">
        <v>236</v>
      </c>
      <c r="D101" s="158">
        <v>79.2</v>
      </c>
      <c r="E101" s="176">
        <v>7</v>
      </c>
      <c r="F101" s="176">
        <v>7</v>
      </c>
      <c r="G101" s="156">
        <v>8</v>
      </c>
      <c r="H101" s="156">
        <v>10</v>
      </c>
      <c r="J101" s="147"/>
      <c r="K101" s="10"/>
      <c r="L101" s="158"/>
      <c r="M101" s="176"/>
      <c r="N101" s="176"/>
      <c r="O101" s="156"/>
      <c r="P101" s="156"/>
      <c r="R101" s="206"/>
      <c r="S101" s="206"/>
      <c r="T101" s="206"/>
      <c r="U101" s="206"/>
      <c r="V101" s="206">
        <f t="shared" si="3"/>
        <v>-10</v>
      </c>
    </row>
    <row r="102" spans="1:22" ht="11.1" customHeight="1">
      <c r="A102" s="7">
        <v>89</v>
      </c>
      <c r="B102" s="7">
        <v>629</v>
      </c>
      <c r="C102" s="10" t="s">
        <v>209</v>
      </c>
      <c r="D102" s="158">
        <v>70</v>
      </c>
      <c r="E102" s="176">
        <v>10</v>
      </c>
      <c r="F102" s="176">
        <v>10</v>
      </c>
      <c r="G102" s="156">
        <v>10</v>
      </c>
      <c r="H102" s="156">
        <v>10</v>
      </c>
      <c r="J102" s="147"/>
      <c r="K102" s="10"/>
      <c r="L102" s="158"/>
      <c r="M102" s="176"/>
      <c r="N102" s="176"/>
      <c r="O102" s="156"/>
      <c r="P102" s="156"/>
      <c r="R102" s="206"/>
      <c r="S102" s="206"/>
      <c r="T102" s="206"/>
      <c r="U102" s="206"/>
      <c r="V102" s="206">
        <f t="shared" si="3"/>
        <v>-10</v>
      </c>
    </row>
    <row r="103" spans="1:22" ht="11.1" customHeight="1">
      <c r="A103" s="7">
        <v>90</v>
      </c>
      <c r="B103" s="7">
        <v>544</v>
      </c>
      <c r="C103" s="10" t="s">
        <v>316</v>
      </c>
      <c r="D103" s="158">
        <v>60</v>
      </c>
      <c r="E103" s="176">
        <v>8</v>
      </c>
      <c r="F103" s="176">
        <v>8</v>
      </c>
      <c r="G103" s="156">
        <v>10</v>
      </c>
      <c r="H103" s="156">
        <v>10</v>
      </c>
      <c r="J103" s="147"/>
      <c r="K103" s="10"/>
      <c r="L103" s="158"/>
      <c r="M103" s="176"/>
      <c r="N103" s="176"/>
      <c r="O103" s="156"/>
      <c r="P103" s="156"/>
      <c r="R103" s="206"/>
      <c r="S103" s="206"/>
      <c r="T103" s="206"/>
      <c r="U103" s="206"/>
      <c r="V103" s="206">
        <f t="shared" si="3"/>
        <v>-10</v>
      </c>
    </row>
    <row r="104" spans="1:22" ht="11.1" customHeight="1">
      <c r="A104" s="7">
        <v>91</v>
      </c>
      <c r="B104" s="7">
        <v>733</v>
      </c>
      <c r="C104" s="10" t="s">
        <v>237</v>
      </c>
      <c r="D104" s="158">
        <v>84</v>
      </c>
      <c r="E104" s="175">
        <v>10</v>
      </c>
      <c r="F104" s="175">
        <v>10</v>
      </c>
      <c r="G104" s="156">
        <v>8</v>
      </c>
      <c r="H104" s="156">
        <v>10</v>
      </c>
      <c r="J104" s="147"/>
      <c r="K104" s="10"/>
      <c r="L104" s="158"/>
      <c r="M104" s="176"/>
      <c r="N104" s="176"/>
      <c r="O104" s="156"/>
      <c r="P104" s="156"/>
      <c r="R104" s="206"/>
      <c r="S104" s="206"/>
      <c r="T104" s="206"/>
      <c r="U104" s="206"/>
      <c r="V104" s="206">
        <f t="shared" si="3"/>
        <v>-10</v>
      </c>
    </row>
    <row r="105" spans="1:22" ht="11.1" customHeight="1">
      <c r="A105" s="7">
        <v>92</v>
      </c>
      <c r="B105" s="7">
        <v>423</v>
      </c>
      <c r="C105" s="10" t="s">
        <v>186</v>
      </c>
      <c r="D105" s="158">
        <v>88.1</v>
      </c>
      <c r="E105" s="176">
        <v>10</v>
      </c>
      <c r="F105" s="176">
        <v>10</v>
      </c>
      <c r="G105" s="156">
        <v>9</v>
      </c>
      <c r="H105" s="156">
        <v>10</v>
      </c>
      <c r="J105" s="147"/>
      <c r="K105" s="10"/>
      <c r="L105" s="158"/>
      <c r="M105" s="175"/>
      <c r="N105" s="175"/>
      <c r="O105" s="156"/>
      <c r="P105" s="156"/>
      <c r="R105" s="206"/>
      <c r="S105" s="206"/>
      <c r="T105" s="206"/>
      <c r="U105" s="206"/>
      <c r="V105" s="206">
        <f t="shared" si="3"/>
        <v>-10</v>
      </c>
    </row>
    <row r="106" spans="1:22" ht="11.1" customHeight="1">
      <c r="A106" s="7">
        <v>93</v>
      </c>
      <c r="B106" s="7">
        <v>534</v>
      </c>
      <c r="C106" s="10" t="s">
        <v>99</v>
      </c>
      <c r="D106" s="158">
        <v>58</v>
      </c>
      <c r="E106" s="176">
        <v>8</v>
      </c>
      <c r="F106" s="176">
        <v>8</v>
      </c>
      <c r="G106" s="156">
        <v>9</v>
      </c>
      <c r="H106" s="156">
        <v>9</v>
      </c>
      <c r="J106" s="147"/>
      <c r="K106" s="10"/>
      <c r="L106" s="158"/>
      <c r="M106" s="176"/>
      <c r="N106" s="176"/>
      <c r="O106" s="156"/>
      <c r="P106" s="156"/>
      <c r="R106" s="206"/>
      <c r="S106" s="206"/>
      <c r="T106" s="206"/>
      <c r="U106" s="206"/>
      <c r="V106" s="206">
        <f t="shared" si="3"/>
        <v>-10</v>
      </c>
    </row>
    <row r="107" spans="1:22" ht="11.1" customHeight="1">
      <c r="A107" s="7">
        <v>94</v>
      </c>
      <c r="B107" s="7">
        <v>734</v>
      </c>
      <c r="C107" s="10" t="s">
        <v>238</v>
      </c>
      <c r="D107" s="158">
        <v>88.2</v>
      </c>
      <c r="E107" s="175">
        <v>10</v>
      </c>
      <c r="F107" s="175">
        <v>10</v>
      </c>
      <c r="G107" s="156">
        <v>8</v>
      </c>
      <c r="H107" s="156">
        <v>10</v>
      </c>
      <c r="J107" s="147"/>
      <c r="K107" s="10"/>
      <c r="L107" s="158"/>
      <c r="M107" s="176"/>
      <c r="N107" s="176"/>
      <c r="O107" s="156"/>
      <c r="P107" s="156"/>
      <c r="R107" s="206"/>
      <c r="S107" s="206"/>
      <c r="T107" s="206"/>
      <c r="U107" s="206"/>
      <c r="V107" s="206">
        <f t="shared" si="3"/>
        <v>-9</v>
      </c>
    </row>
    <row r="108" spans="1:22" ht="11.1" customHeight="1">
      <c r="A108" s="7">
        <v>95</v>
      </c>
      <c r="B108" s="7">
        <v>535</v>
      </c>
      <c r="C108" s="10" t="s">
        <v>100</v>
      </c>
      <c r="D108" s="158">
        <v>62</v>
      </c>
      <c r="E108" s="176">
        <v>8</v>
      </c>
      <c r="F108" s="176">
        <v>8</v>
      </c>
      <c r="G108" s="156">
        <v>9</v>
      </c>
      <c r="H108" s="156">
        <v>9</v>
      </c>
      <c r="J108" s="147"/>
      <c r="K108" s="10"/>
      <c r="L108" s="158"/>
      <c r="M108" s="175"/>
      <c r="N108" s="175"/>
      <c r="O108" s="156"/>
      <c r="P108" s="156"/>
      <c r="R108" s="206"/>
      <c r="S108" s="206"/>
      <c r="T108" s="206"/>
      <c r="U108" s="206"/>
      <c r="V108" s="206">
        <f t="shared" si="3"/>
        <v>-10</v>
      </c>
    </row>
    <row r="109" spans="1:22" ht="11.1" customHeight="1">
      <c r="A109" s="7">
        <v>96</v>
      </c>
      <c r="B109" s="7">
        <v>240</v>
      </c>
      <c r="C109" s="10" t="s">
        <v>34</v>
      </c>
      <c r="D109" s="158">
        <v>85</v>
      </c>
      <c r="E109" s="176">
        <v>8</v>
      </c>
      <c r="F109" s="176">
        <v>10</v>
      </c>
      <c r="G109" s="156">
        <v>10</v>
      </c>
      <c r="H109" s="156">
        <v>10</v>
      </c>
      <c r="J109" s="147"/>
      <c r="K109" s="10"/>
      <c r="L109" s="158"/>
      <c r="M109" s="176"/>
      <c r="N109" s="176"/>
      <c r="O109" s="156"/>
      <c r="P109" s="156"/>
      <c r="R109" s="206"/>
      <c r="S109" s="206"/>
      <c r="T109" s="206"/>
      <c r="U109" s="206"/>
      <c r="V109" s="206">
        <f t="shared" si="3"/>
        <v>-9</v>
      </c>
    </row>
    <row r="110" spans="1:22" ht="11.1" customHeight="1">
      <c r="A110" s="7">
        <v>97</v>
      </c>
      <c r="B110" s="7">
        <v>242</v>
      </c>
      <c r="C110" s="10" t="s">
        <v>35</v>
      </c>
      <c r="D110" s="158">
        <v>80</v>
      </c>
      <c r="E110" s="176">
        <v>10</v>
      </c>
      <c r="F110" s="176">
        <v>10</v>
      </c>
      <c r="G110" s="156">
        <v>10</v>
      </c>
      <c r="H110" s="156">
        <v>10</v>
      </c>
      <c r="J110" s="147"/>
      <c r="K110" s="10"/>
      <c r="L110" s="158"/>
      <c r="M110" s="176"/>
      <c r="N110" s="176"/>
      <c r="O110" s="156"/>
      <c r="P110" s="156"/>
      <c r="R110" s="206"/>
      <c r="S110" s="206"/>
      <c r="T110" s="206"/>
      <c r="U110" s="206"/>
      <c r="V110" s="206">
        <f t="shared" si="3"/>
        <v>-10</v>
      </c>
    </row>
    <row r="111" spans="1:22" s="9" customFormat="1" ht="11.1" customHeight="1">
      <c r="A111" s="7">
        <v>98</v>
      </c>
      <c r="B111" s="7">
        <v>735</v>
      </c>
      <c r="C111" s="10" t="s">
        <v>239</v>
      </c>
      <c r="D111" s="158">
        <v>87.9</v>
      </c>
      <c r="E111" s="175">
        <v>10</v>
      </c>
      <c r="F111" s="175">
        <v>10</v>
      </c>
      <c r="G111" s="156">
        <v>8</v>
      </c>
      <c r="H111" s="156">
        <v>10</v>
      </c>
      <c r="I111" s="6"/>
      <c r="J111" s="147"/>
      <c r="K111" s="10"/>
      <c r="L111" s="158"/>
      <c r="M111" s="176"/>
      <c r="N111" s="176"/>
      <c r="O111" s="156"/>
      <c r="P111" s="156"/>
      <c r="Q111" s="7"/>
      <c r="R111" s="206"/>
      <c r="S111" s="206"/>
      <c r="T111" s="206"/>
      <c r="U111" s="206"/>
      <c r="V111" s="206">
        <f t="shared" si="3"/>
        <v>-10</v>
      </c>
    </row>
    <row r="112" spans="1:22" ht="11.1" customHeight="1">
      <c r="A112" s="7">
        <v>99</v>
      </c>
      <c r="B112" s="7">
        <v>308</v>
      </c>
      <c r="C112" s="10" t="s">
        <v>51</v>
      </c>
      <c r="D112" s="158">
        <v>93</v>
      </c>
      <c r="E112" s="176">
        <v>10</v>
      </c>
      <c r="F112" s="176">
        <v>10</v>
      </c>
      <c r="G112" s="156">
        <v>10</v>
      </c>
      <c r="H112" s="156">
        <v>10</v>
      </c>
      <c r="J112" s="147"/>
      <c r="K112" s="10"/>
      <c r="L112" s="158"/>
      <c r="M112" s="175"/>
      <c r="N112" s="175"/>
      <c r="O112" s="156"/>
      <c r="P112" s="156"/>
      <c r="R112" s="206"/>
      <c r="S112" s="206"/>
      <c r="T112" s="206"/>
      <c r="U112" s="206"/>
      <c r="V112" s="206">
        <f t="shared" si="3"/>
        <v>-10</v>
      </c>
    </row>
    <row r="113" spans="1:22" ht="11.1" customHeight="1">
      <c r="A113" s="7">
        <v>100</v>
      </c>
      <c r="B113" s="7">
        <v>245</v>
      </c>
      <c r="C113" s="10" t="s">
        <v>36</v>
      </c>
      <c r="D113" s="158">
        <v>75</v>
      </c>
      <c r="E113" s="176">
        <v>10</v>
      </c>
      <c r="F113" s="176">
        <v>10</v>
      </c>
      <c r="G113" s="156">
        <v>10</v>
      </c>
      <c r="H113" s="156">
        <v>10</v>
      </c>
      <c r="J113" s="150"/>
      <c r="K113" s="10"/>
      <c r="L113" s="158"/>
      <c r="M113" s="176"/>
      <c r="N113" s="176"/>
      <c r="O113" s="156"/>
      <c r="P113" s="156"/>
      <c r="R113" s="206"/>
      <c r="S113" s="206"/>
      <c r="T113" s="206"/>
      <c r="U113" s="206"/>
      <c r="V113" s="206">
        <f t="shared" si="3"/>
        <v>-10</v>
      </c>
    </row>
    <row r="114" spans="1:22" ht="11.1" customHeight="1">
      <c r="A114" s="7">
        <v>101</v>
      </c>
      <c r="B114" s="7">
        <v>309</v>
      </c>
      <c r="C114" s="10" t="s">
        <v>52</v>
      </c>
      <c r="D114" s="158">
        <v>93</v>
      </c>
      <c r="E114" s="176">
        <v>10</v>
      </c>
      <c r="F114" s="176">
        <v>10</v>
      </c>
      <c r="G114" s="156">
        <v>10</v>
      </c>
      <c r="H114" s="156">
        <v>10</v>
      </c>
      <c r="J114" s="147"/>
      <c r="K114" s="10"/>
      <c r="L114" s="158"/>
      <c r="M114" s="176"/>
      <c r="N114" s="176"/>
      <c r="O114" s="156"/>
      <c r="P114" s="156"/>
      <c r="R114" s="206"/>
      <c r="S114" s="206"/>
      <c r="T114" s="206"/>
      <c r="U114" s="206"/>
      <c r="V114" s="206">
        <f t="shared" si="3"/>
        <v>-10</v>
      </c>
    </row>
    <row r="115" spans="1:22" ht="11.1" customHeight="1">
      <c r="A115" s="7">
        <v>102</v>
      </c>
      <c r="B115" s="7">
        <v>310</v>
      </c>
      <c r="C115" s="10" t="s">
        <v>53</v>
      </c>
      <c r="D115" s="158">
        <v>95</v>
      </c>
      <c r="E115" s="176">
        <v>10</v>
      </c>
      <c r="F115" s="176">
        <v>10</v>
      </c>
      <c r="G115" s="156">
        <v>10</v>
      </c>
      <c r="H115" s="156">
        <v>10</v>
      </c>
      <c r="J115" s="147"/>
      <c r="K115" s="10"/>
      <c r="L115" s="158"/>
      <c r="M115" s="176"/>
      <c r="N115" s="176"/>
      <c r="O115" s="156"/>
      <c r="P115" s="156"/>
      <c r="R115" s="206"/>
      <c r="S115" s="206"/>
      <c r="T115" s="206"/>
      <c r="U115" s="206"/>
      <c r="V115" s="206">
        <f t="shared" si="3"/>
        <v>-10</v>
      </c>
    </row>
    <row r="116" spans="1:22" ht="11.1" customHeight="1">
      <c r="A116" s="7">
        <v>103</v>
      </c>
      <c r="B116" s="7">
        <v>402</v>
      </c>
      <c r="C116" s="12" t="s">
        <v>75</v>
      </c>
      <c r="D116" s="158">
        <v>75</v>
      </c>
      <c r="E116" s="176">
        <v>8</v>
      </c>
      <c r="F116" s="176">
        <v>8</v>
      </c>
      <c r="G116" s="156">
        <v>9</v>
      </c>
      <c r="H116" s="156">
        <v>10</v>
      </c>
      <c r="J116" s="147"/>
      <c r="K116" s="10"/>
      <c r="L116" s="158"/>
      <c r="M116" s="176"/>
      <c r="N116" s="176"/>
      <c r="O116" s="156"/>
      <c r="P116" s="156"/>
      <c r="R116" s="206"/>
      <c r="S116" s="206"/>
      <c r="T116" s="206"/>
      <c r="U116" s="206"/>
      <c r="V116" s="206">
        <f t="shared" ref="V116:V147" si="4">+P116-H115</f>
        <v>-10</v>
      </c>
    </row>
    <row r="117" spans="1:22" ht="11.1" customHeight="1">
      <c r="A117" s="7">
        <v>104</v>
      </c>
      <c r="B117" s="7">
        <v>246</v>
      </c>
      <c r="C117" s="10" t="s">
        <v>37</v>
      </c>
      <c r="D117" s="158">
        <v>89</v>
      </c>
      <c r="E117" s="176">
        <v>10</v>
      </c>
      <c r="F117" s="176">
        <v>10</v>
      </c>
      <c r="G117" s="156">
        <v>10</v>
      </c>
      <c r="H117" s="156">
        <v>10</v>
      </c>
      <c r="J117" s="147"/>
      <c r="K117" s="12"/>
      <c r="L117" s="158"/>
      <c r="M117" s="176"/>
      <c r="N117" s="176"/>
      <c r="O117" s="156"/>
      <c r="P117" s="156"/>
      <c r="R117" s="206"/>
      <c r="S117" s="206"/>
      <c r="T117" s="206"/>
      <c r="U117" s="206"/>
      <c r="V117" s="206">
        <f t="shared" si="4"/>
        <v>-10</v>
      </c>
    </row>
    <row r="118" spans="1:22" ht="11.1" customHeight="1">
      <c r="A118" s="7">
        <v>105</v>
      </c>
      <c r="B118" s="7">
        <v>427</v>
      </c>
      <c r="C118" s="10" t="s">
        <v>188</v>
      </c>
      <c r="D118" s="158">
        <v>80</v>
      </c>
      <c r="E118" s="176">
        <v>10</v>
      </c>
      <c r="F118" s="176">
        <v>10</v>
      </c>
      <c r="G118" s="156">
        <v>9</v>
      </c>
      <c r="H118" s="156">
        <v>10</v>
      </c>
      <c r="J118" s="147"/>
      <c r="K118" s="10"/>
      <c r="L118" s="158"/>
      <c r="M118" s="176"/>
      <c r="N118" s="176"/>
      <c r="O118" s="156"/>
      <c r="P118" s="156"/>
      <c r="R118" s="206"/>
      <c r="S118" s="206"/>
      <c r="T118" s="206"/>
      <c r="U118" s="206"/>
      <c r="V118" s="206">
        <f t="shared" si="4"/>
        <v>-10</v>
      </c>
    </row>
    <row r="119" spans="1:22" ht="11.1" customHeight="1">
      <c r="A119" s="7">
        <v>106</v>
      </c>
      <c r="B119" s="7">
        <v>738</v>
      </c>
      <c r="C119" s="10" t="s">
        <v>240</v>
      </c>
      <c r="D119" s="158">
        <v>90.3</v>
      </c>
      <c r="E119" s="175">
        <v>10</v>
      </c>
      <c r="F119" s="175">
        <v>10</v>
      </c>
      <c r="G119" s="156">
        <v>8</v>
      </c>
      <c r="H119" s="156">
        <v>10</v>
      </c>
      <c r="J119" s="147"/>
      <c r="K119" s="10"/>
      <c r="L119" s="158"/>
      <c r="M119" s="176"/>
      <c r="N119" s="176"/>
      <c r="O119" s="156"/>
      <c r="P119" s="156"/>
      <c r="R119" s="206"/>
      <c r="S119" s="206"/>
      <c r="T119" s="206"/>
      <c r="U119" s="206"/>
      <c r="V119" s="206">
        <f t="shared" si="4"/>
        <v>-10</v>
      </c>
    </row>
    <row r="120" spans="1:22" ht="11.1" customHeight="1">
      <c r="A120" s="7">
        <v>107</v>
      </c>
      <c r="B120" s="7">
        <v>250</v>
      </c>
      <c r="C120" s="10" t="s">
        <v>38</v>
      </c>
      <c r="D120" s="158">
        <v>84</v>
      </c>
      <c r="E120" s="176">
        <v>10</v>
      </c>
      <c r="F120" s="176">
        <v>10</v>
      </c>
      <c r="G120" s="156">
        <v>10</v>
      </c>
      <c r="H120" s="156">
        <v>10</v>
      </c>
      <c r="J120" s="147"/>
      <c r="K120" s="10"/>
      <c r="L120" s="158"/>
      <c r="M120" s="175"/>
      <c r="N120" s="175"/>
      <c r="O120" s="156"/>
      <c r="P120" s="156"/>
      <c r="R120" s="206"/>
      <c r="S120" s="206"/>
      <c r="T120" s="206"/>
      <c r="U120" s="206"/>
      <c r="V120" s="206">
        <f t="shared" si="4"/>
        <v>-10</v>
      </c>
    </row>
    <row r="121" spans="1:22" ht="11.1" customHeight="1">
      <c r="A121" s="7">
        <v>108</v>
      </c>
      <c r="B121" s="7">
        <v>311</v>
      </c>
      <c r="C121" s="10" t="s">
        <v>54</v>
      </c>
      <c r="D121" s="158">
        <v>90</v>
      </c>
      <c r="E121" s="176">
        <v>10</v>
      </c>
      <c r="F121" s="176">
        <v>10</v>
      </c>
      <c r="G121" s="156">
        <v>10</v>
      </c>
      <c r="H121" s="156">
        <v>10</v>
      </c>
      <c r="J121" s="147"/>
      <c r="K121" s="10"/>
      <c r="L121" s="158"/>
      <c r="M121" s="176"/>
      <c r="N121" s="176"/>
      <c r="O121" s="156"/>
      <c r="P121" s="156"/>
      <c r="R121" s="206"/>
      <c r="S121" s="206"/>
      <c r="T121" s="206"/>
      <c r="U121" s="206"/>
      <c r="V121" s="206">
        <f t="shared" si="4"/>
        <v>-10</v>
      </c>
    </row>
    <row r="122" spans="1:22" ht="11.1" customHeight="1">
      <c r="A122" s="7">
        <v>109</v>
      </c>
      <c r="B122" s="19">
        <v>813</v>
      </c>
      <c r="C122" s="10" t="s">
        <v>69</v>
      </c>
      <c r="D122" s="158">
        <v>88</v>
      </c>
      <c r="E122" s="175">
        <v>10</v>
      </c>
      <c r="F122" s="175">
        <v>10</v>
      </c>
      <c r="G122" s="156">
        <v>10</v>
      </c>
      <c r="H122" s="156">
        <v>10</v>
      </c>
      <c r="J122" s="147"/>
      <c r="K122" s="10"/>
      <c r="L122" s="158"/>
      <c r="M122" s="176"/>
      <c r="N122" s="176"/>
      <c r="O122" s="156"/>
      <c r="P122" s="156"/>
      <c r="R122" s="206"/>
      <c r="S122" s="206"/>
      <c r="T122" s="206"/>
      <c r="U122" s="206"/>
      <c r="V122" s="206">
        <f t="shared" si="4"/>
        <v>-10</v>
      </c>
    </row>
    <row r="123" spans="1:22" ht="11.1" customHeight="1">
      <c r="A123" s="7">
        <v>110</v>
      </c>
      <c r="B123" s="7">
        <v>428</v>
      </c>
      <c r="C123" s="10" t="s">
        <v>189</v>
      </c>
      <c r="D123" s="158">
        <v>73</v>
      </c>
      <c r="E123" s="176">
        <v>7</v>
      </c>
      <c r="F123" s="176">
        <v>10</v>
      </c>
      <c r="G123" s="156">
        <v>9</v>
      </c>
      <c r="H123" s="156">
        <v>10</v>
      </c>
      <c r="J123" s="147"/>
      <c r="K123" s="10"/>
      <c r="L123" s="158"/>
      <c r="M123" s="175"/>
      <c r="N123" s="175"/>
      <c r="O123" s="156"/>
      <c r="P123" s="156"/>
      <c r="R123" s="206"/>
      <c r="S123" s="206"/>
      <c r="T123" s="206"/>
      <c r="U123" s="206"/>
      <c r="V123" s="206">
        <f t="shared" si="4"/>
        <v>-10</v>
      </c>
    </row>
    <row r="124" spans="1:22" ht="11.1" customHeight="1">
      <c r="A124" s="7">
        <v>111</v>
      </c>
      <c r="B124" s="7">
        <v>536</v>
      </c>
      <c r="C124" s="10" t="s">
        <v>118</v>
      </c>
      <c r="D124" s="158">
        <v>72.5</v>
      </c>
      <c r="E124" s="176">
        <v>8</v>
      </c>
      <c r="F124" s="176">
        <v>8</v>
      </c>
      <c r="G124" s="156">
        <v>9</v>
      </c>
      <c r="H124" s="156">
        <v>9</v>
      </c>
      <c r="J124" s="147"/>
      <c r="K124" s="10"/>
      <c r="L124" s="158"/>
      <c r="M124" s="176"/>
      <c r="N124" s="176"/>
      <c r="O124" s="156"/>
      <c r="P124" s="156"/>
      <c r="R124" s="206"/>
      <c r="S124" s="206"/>
      <c r="T124" s="206"/>
      <c r="U124" s="206"/>
      <c r="V124" s="206">
        <f t="shared" si="4"/>
        <v>-10</v>
      </c>
    </row>
    <row r="125" spans="1:22" ht="11.1" customHeight="1">
      <c r="A125" s="7">
        <v>112</v>
      </c>
      <c r="B125" s="7">
        <v>636</v>
      </c>
      <c r="C125" s="10" t="s">
        <v>114</v>
      </c>
      <c r="D125" s="158">
        <v>90</v>
      </c>
      <c r="E125" s="176">
        <v>8</v>
      </c>
      <c r="F125" s="176">
        <v>10</v>
      </c>
      <c r="G125" s="156">
        <v>10</v>
      </c>
      <c r="H125" s="156">
        <v>10</v>
      </c>
      <c r="J125" s="147"/>
      <c r="K125" s="10"/>
      <c r="L125" s="158"/>
      <c r="M125" s="176"/>
      <c r="N125" s="176"/>
      <c r="O125" s="156"/>
      <c r="P125" s="156"/>
      <c r="R125" s="206"/>
      <c r="S125" s="206"/>
      <c r="T125" s="206"/>
      <c r="U125" s="206"/>
      <c r="V125" s="206">
        <f t="shared" si="4"/>
        <v>-9</v>
      </c>
    </row>
    <row r="126" spans="1:22" ht="11.1" customHeight="1">
      <c r="A126" s="7">
        <v>113</v>
      </c>
      <c r="B126" s="7">
        <v>637</v>
      </c>
      <c r="C126" s="10" t="s">
        <v>115</v>
      </c>
      <c r="D126" s="158">
        <v>83</v>
      </c>
      <c r="E126" s="176">
        <v>10</v>
      </c>
      <c r="F126" s="176">
        <v>10</v>
      </c>
      <c r="G126" s="156">
        <v>10</v>
      </c>
      <c r="H126" s="156">
        <v>10</v>
      </c>
      <c r="J126" s="147"/>
      <c r="K126" s="10"/>
      <c r="L126" s="158"/>
      <c r="M126" s="176"/>
      <c r="N126" s="176"/>
      <c r="O126" s="156"/>
      <c r="P126" s="156"/>
      <c r="R126" s="206"/>
      <c r="S126" s="206"/>
      <c r="T126" s="206"/>
      <c r="U126" s="206"/>
      <c r="V126" s="206">
        <f t="shared" si="4"/>
        <v>-10</v>
      </c>
    </row>
    <row r="127" spans="1:22" ht="11.1" customHeight="1">
      <c r="A127" s="7">
        <v>114</v>
      </c>
      <c r="B127" s="7">
        <v>739</v>
      </c>
      <c r="C127" s="10" t="s">
        <v>57</v>
      </c>
      <c r="D127" s="158">
        <v>87.8</v>
      </c>
      <c r="E127" s="175">
        <v>10</v>
      </c>
      <c r="F127" s="175">
        <v>10</v>
      </c>
      <c r="G127" s="156">
        <v>8</v>
      </c>
      <c r="H127" s="156">
        <v>10</v>
      </c>
      <c r="J127" s="147"/>
      <c r="K127" s="10"/>
      <c r="L127" s="158"/>
      <c r="M127" s="176"/>
      <c r="N127" s="176"/>
      <c r="O127" s="156"/>
      <c r="P127" s="156"/>
      <c r="R127" s="206"/>
      <c r="S127" s="206"/>
      <c r="T127" s="206"/>
      <c r="U127" s="206"/>
      <c r="V127" s="206">
        <f t="shared" si="4"/>
        <v>-10</v>
      </c>
    </row>
    <row r="128" spans="1:22" ht="11.1" customHeight="1">
      <c r="A128" s="7">
        <v>115</v>
      </c>
      <c r="B128" s="7">
        <v>432</v>
      </c>
      <c r="C128" s="10" t="s">
        <v>210</v>
      </c>
      <c r="D128" s="158">
        <v>80</v>
      </c>
      <c r="E128" s="176">
        <v>7</v>
      </c>
      <c r="F128" s="176">
        <v>10</v>
      </c>
      <c r="G128" s="156">
        <v>9</v>
      </c>
      <c r="H128" s="156">
        <v>10</v>
      </c>
      <c r="J128" s="147"/>
      <c r="K128" s="10"/>
      <c r="L128" s="158"/>
      <c r="M128" s="175"/>
      <c r="N128" s="175"/>
      <c r="O128" s="156"/>
      <c r="P128" s="156"/>
      <c r="R128" s="206"/>
      <c r="S128" s="206"/>
      <c r="T128" s="206"/>
      <c r="U128" s="206"/>
      <c r="V128" s="206">
        <f t="shared" si="4"/>
        <v>-10</v>
      </c>
    </row>
    <row r="129" spans="1:22" ht="11.1" customHeight="1">
      <c r="A129" s="7">
        <v>116</v>
      </c>
      <c r="B129" s="7">
        <v>315</v>
      </c>
      <c r="C129" s="10" t="s">
        <v>166</v>
      </c>
      <c r="D129" s="158">
        <v>72</v>
      </c>
      <c r="E129" s="176">
        <v>8</v>
      </c>
      <c r="F129" s="176">
        <v>8</v>
      </c>
      <c r="G129" s="156">
        <v>10</v>
      </c>
      <c r="H129" s="156">
        <v>10</v>
      </c>
      <c r="J129" s="147"/>
      <c r="K129" s="10"/>
      <c r="L129" s="158"/>
      <c r="M129" s="176"/>
      <c r="N129" s="176"/>
      <c r="O129" s="156"/>
      <c r="P129" s="156"/>
      <c r="R129" s="206"/>
      <c r="S129" s="206"/>
      <c r="T129" s="206"/>
      <c r="U129" s="206"/>
      <c r="V129" s="206">
        <f t="shared" si="4"/>
        <v>-10</v>
      </c>
    </row>
    <row r="130" spans="1:22" ht="11.1" customHeight="1">
      <c r="A130" s="7">
        <v>117</v>
      </c>
      <c r="B130" s="7">
        <v>816</v>
      </c>
      <c r="C130" s="10" t="s">
        <v>71</v>
      </c>
      <c r="D130" s="158">
        <v>83</v>
      </c>
      <c r="E130" s="175">
        <v>9.5</v>
      </c>
      <c r="F130" s="175">
        <v>9.5</v>
      </c>
      <c r="G130" s="156">
        <v>10</v>
      </c>
      <c r="H130" s="156">
        <v>10</v>
      </c>
      <c r="J130" s="147"/>
      <c r="K130" s="10"/>
      <c r="L130" s="158"/>
      <c r="M130" s="176"/>
      <c r="N130" s="176"/>
      <c r="O130" s="156"/>
      <c r="P130" s="156"/>
      <c r="R130" s="206"/>
      <c r="S130" s="206"/>
      <c r="T130" s="206"/>
      <c r="U130" s="206"/>
      <c r="V130" s="206">
        <f t="shared" si="4"/>
        <v>-10</v>
      </c>
    </row>
    <row r="131" spans="1:22" ht="11.1" customHeight="1">
      <c r="A131" s="7">
        <v>118</v>
      </c>
      <c r="B131" s="7">
        <v>254</v>
      </c>
      <c r="C131" s="10" t="s">
        <v>40</v>
      </c>
      <c r="D131" s="158">
        <v>89.1</v>
      </c>
      <c r="E131" s="176">
        <v>8</v>
      </c>
      <c r="F131" s="176">
        <v>8</v>
      </c>
      <c r="G131" s="156">
        <v>10</v>
      </c>
      <c r="H131" s="156">
        <v>10</v>
      </c>
      <c r="J131" s="147"/>
      <c r="K131" s="10"/>
      <c r="L131" s="158"/>
      <c r="M131" s="175"/>
      <c r="N131" s="175"/>
      <c r="O131" s="156"/>
      <c r="P131" s="156"/>
      <c r="R131" s="206"/>
      <c r="S131" s="206"/>
      <c r="T131" s="206"/>
      <c r="U131" s="206"/>
      <c r="V131" s="206">
        <f t="shared" si="4"/>
        <v>-10</v>
      </c>
    </row>
    <row r="132" spans="1:22" ht="11.1" customHeight="1">
      <c r="A132" s="7">
        <v>119</v>
      </c>
      <c r="B132" s="7">
        <v>743</v>
      </c>
      <c r="C132" s="10" t="s">
        <v>60</v>
      </c>
      <c r="D132" s="158">
        <v>70</v>
      </c>
      <c r="E132" s="175">
        <v>10</v>
      </c>
      <c r="F132" s="175">
        <v>10</v>
      </c>
      <c r="G132" s="156">
        <v>8</v>
      </c>
      <c r="H132" s="156">
        <v>10</v>
      </c>
      <c r="J132" s="147"/>
      <c r="K132" s="10"/>
      <c r="L132" s="158"/>
      <c r="M132" s="176"/>
      <c r="N132" s="176"/>
      <c r="O132" s="156"/>
      <c r="P132" s="156"/>
      <c r="R132" s="206"/>
      <c r="S132" s="206"/>
      <c r="T132" s="206"/>
      <c r="U132" s="206"/>
      <c r="V132" s="206">
        <f t="shared" si="4"/>
        <v>-10</v>
      </c>
    </row>
    <row r="133" spans="1:22" ht="11.1" customHeight="1">
      <c r="A133" s="7">
        <v>120</v>
      </c>
      <c r="B133" s="7">
        <v>639</v>
      </c>
      <c r="C133" s="10" t="s">
        <v>116</v>
      </c>
      <c r="D133" s="158">
        <v>70</v>
      </c>
      <c r="E133" s="176">
        <v>10</v>
      </c>
      <c r="F133" s="176">
        <v>10</v>
      </c>
      <c r="G133" s="156">
        <v>10</v>
      </c>
      <c r="H133" s="156">
        <v>10</v>
      </c>
      <c r="J133" s="147"/>
      <c r="K133" s="10"/>
      <c r="L133" s="158"/>
      <c r="M133" s="175"/>
      <c r="N133" s="175"/>
      <c r="O133" s="156"/>
      <c r="P133" s="156"/>
      <c r="R133" s="206"/>
      <c r="S133" s="206"/>
      <c r="T133" s="206"/>
      <c r="U133" s="206"/>
      <c r="V133" s="206">
        <f t="shared" si="4"/>
        <v>-10</v>
      </c>
    </row>
    <row r="134" spans="1:22" ht="11.1" customHeight="1">
      <c r="A134" s="7">
        <v>121</v>
      </c>
      <c r="B134" s="7">
        <v>433</v>
      </c>
      <c r="C134" s="10" t="s">
        <v>191</v>
      </c>
      <c r="D134" s="158">
        <v>83</v>
      </c>
      <c r="E134" s="176">
        <v>10</v>
      </c>
      <c r="F134" s="176">
        <v>10</v>
      </c>
      <c r="G134" s="156">
        <v>9</v>
      </c>
      <c r="H134" s="156">
        <v>10</v>
      </c>
      <c r="J134" s="147"/>
      <c r="K134" s="10"/>
      <c r="L134" s="158"/>
      <c r="M134" s="176"/>
      <c r="N134" s="176"/>
      <c r="O134" s="156"/>
      <c r="P134" s="156"/>
      <c r="R134" s="206"/>
      <c r="S134" s="206"/>
      <c r="T134" s="206"/>
      <c r="U134" s="206"/>
      <c r="V134" s="206">
        <f t="shared" si="4"/>
        <v>-10</v>
      </c>
    </row>
    <row r="135" spans="1:22" ht="11.1" customHeight="1">
      <c r="A135" s="7">
        <v>122</v>
      </c>
      <c r="B135" s="7">
        <v>312</v>
      </c>
      <c r="C135" s="10" t="s">
        <v>55</v>
      </c>
      <c r="D135" s="158">
        <v>90</v>
      </c>
      <c r="E135" s="176">
        <v>10</v>
      </c>
      <c r="F135" s="176">
        <v>10</v>
      </c>
      <c r="G135" s="156">
        <v>10</v>
      </c>
      <c r="H135" s="156">
        <v>10</v>
      </c>
      <c r="J135" s="147"/>
      <c r="K135" s="10"/>
      <c r="L135" s="158"/>
      <c r="M135" s="176"/>
      <c r="N135" s="176"/>
      <c r="O135" s="156"/>
      <c r="P135" s="156"/>
      <c r="R135" s="206"/>
      <c r="S135" s="206"/>
      <c r="T135" s="206"/>
      <c r="U135" s="206"/>
      <c r="V135" s="206">
        <f t="shared" si="4"/>
        <v>-10</v>
      </c>
    </row>
    <row r="136" spans="1:22" ht="11.1" customHeight="1">
      <c r="A136" s="7">
        <v>123</v>
      </c>
      <c r="B136" s="7">
        <v>313</v>
      </c>
      <c r="C136" s="10" t="s">
        <v>56</v>
      </c>
      <c r="D136" s="158">
        <v>98</v>
      </c>
      <c r="E136" s="176">
        <v>10</v>
      </c>
      <c r="F136" s="176">
        <v>10</v>
      </c>
      <c r="G136" s="156">
        <v>10</v>
      </c>
      <c r="H136" s="156">
        <v>10</v>
      </c>
      <c r="J136" s="147"/>
      <c r="K136" s="10"/>
      <c r="L136" s="158"/>
      <c r="M136" s="176"/>
      <c r="N136" s="176"/>
      <c r="O136" s="156"/>
      <c r="P136" s="156"/>
      <c r="R136" s="206"/>
      <c r="S136" s="206"/>
      <c r="T136" s="206"/>
      <c r="U136" s="206"/>
      <c r="V136" s="206">
        <f t="shared" si="4"/>
        <v>-10</v>
      </c>
    </row>
    <row r="137" spans="1:22" ht="11.1" customHeight="1">
      <c r="A137" s="7">
        <v>124</v>
      </c>
      <c r="B137" s="7">
        <v>314</v>
      </c>
      <c r="C137" s="10" t="s">
        <v>165</v>
      </c>
      <c r="D137" s="158">
        <v>80.599999999999994</v>
      </c>
      <c r="E137" s="176">
        <v>10</v>
      </c>
      <c r="F137" s="176">
        <v>10</v>
      </c>
      <c r="G137" s="156">
        <v>10</v>
      </c>
      <c r="H137" s="156">
        <v>10</v>
      </c>
      <c r="J137" s="147"/>
      <c r="K137" s="10"/>
      <c r="L137" s="158"/>
      <c r="M137" s="176"/>
      <c r="N137" s="176"/>
      <c r="O137" s="156"/>
      <c r="P137" s="156"/>
      <c r="R137" s="206"/>
      <c r="S137" s="206"/>
      <c r="T137" s="206"/>
      <c r="U137" s="206"/>
      <c r="V137" s="206">
        <f t="shared" si="4"/>
        <v>-10</v>
      </c>
    </row>
    <row r="138" spans="1:22" ht="11.1" customHeight="1">
      <c r="A138" s="7">
        <v>125</v>
      </c>
      <c r="B138" s="7">
        <v>741</v>
      </c>
      <c r="C138" s="10" t="s">
        <v>59</v>
      </c>
      <c r="D138" s="158">
        <v>80</v>
      </c>
      <c r="E138" s="175">
        <v>9</v>
      </c>
      <c r="F138" s="175">
        <v>9</v>
      </c>
      <c r="G138" s="156">
        <v>8</v>
      </c>
      <c r="H138" s="156">
        <v>10</v>
      </c>
      <c r="J138" s="147"/>
      <c r="K138" s="10"/>
      <c r="L138" s="158"/>
      <c r="M138" s="176"/>
      <c r="N138" s="176"/>
      <c r="O138" s="156"/>
      <c r="P138" s="156"/>
      <c r="R138" s="206"/>
      <c r="S138" s="206"/>
      <c r="T138" s="206"/>
      <c r="U138" s="206"/>
      <c r="V138" s="206">
        <f t="shared" si="4"/>
        <v>-10</v>
      </c>
    </row>
    <row r="139" spans="1:22" ht="11.1" customHeight="1">
      <c r="A139" s="7">
        <v>126</v>
      </c>
      <c r="B139" s="7">
        <v>815</v>
      </c>
      <c r="C139" s="10" t="s">
        <v>70</v>
      </c>
      <c r="D139" s="158">
        <v>90</v>
      </c>
      <c r="E139" s="175">
        <v>10</v>
      </c>
      <c r="F139" s="175">
        <v>10</v>
      </c>
      <c r="G139" s="156">
        <v>10</v>
      </c>
      <c r="H139" s="156">
        <v>10</v>
      </c>
      <c r="J139" s="150"/>
      <c r="K139" s="10"/>
      <c r="L139" s="158"/>
      <c r="M139" s="175"/>
      <c r="N139" s="175"/>
      <c r="O139" s="156"/>
      <c r="P139" s="156"/>
      <c r="R139" s="206"/>
      <c r="S139" s="206"/>
      <c r="T139" s="206"/>
      <c r="U139" s="206"/>
      <c r="V139" s="206">
        <f t="shared" si="4"/>
        <v>-10</v>
      </c>
    </row>
    <row r="140" spans="1:22" ht="11.1" customHeight="1">
      <c r="A140" s="7">
        <v>127</v>
      </c>
      <c r="B140" s="7">
        <v>744</v>
      </c>
      <c r="C140" s="10" t="s">
        <v>61</v>
      </c>
      <c r="D140" s="158">
        <v>88.7</v>
      </c>
      <c r="E140" s="175">
        <v>10</v>
      </c>
      <c r="F140" s="175">
        <v>10</v>
      </c>
      <c r="G140" s="156">
        <v>8</v>
      </c>
      <c r="H140" s="156">
        <v>10</v>
      </c>
      <c r="J140" s="147"/>
      <c r="K140" s="10"/>
      <c r="L140" s="158"/>
      <c r="M140" s="175"/>
      <c r="N140" s="175"/>
      <c r="O140" s="156"/>
      <c r="P140" s="156"/>
      <c r="R140" s="206"/>
      <c r="S140" s="206"/>
      <c r="T140" s="206"/>
      <c r="U140" s="206"/>
      <c r="V140" s="206">
        <f t="shared" si="4"/>
        <v>-10</v>
      </c>
    </row>
    <row r="141" spans="1:22" ht="11.1" customHeight="1">
      <c r="A141" s="7">
        <v>128</v>
      </c>
      <c r="B141" s="7">
        <v>316</v>
      </c>
      <c r="C141" s="10" t="s">
        <v>167</v>
      </c>
      <c r="D141" s="158">
        <v>75</v>
      </c>
      <c r="E141" s="176">
        <v>10</v>
      </c>
      <c r="F141" s="176">
        <v>10</v>
      </c>
      <c r="G141" s="156">
        <v>10</v>
      </c>
      <c r="H141" s="156">
        <v>10</v>
      </c>
      <c r="J141" s="147"/>
      <c r="K141" s="10"/>
      <c r="L141" s="158"/>
      <c r="M141" s="175"/>
      <c r="N141" s="175"/>
      <c r="O141" s="156"/>
      <c r="P141" s="156"/>
      <c r="R141" s="206"/>
      <c r="S141" s="206"/>
      <c r="T141" s="206"/>
      <c r="U141" s="206"/>
      <c r="V141" s="206">
        <f t="shared" si="4"/>
        <v>-10</v>
      </c>
    </row>
    <row r="142" spans="1:22" ht="11.1" customHeight="1">
      <c r="A142" s="7">
        <v>129</v>
      </c>
      <c r="B142" s="7">
        <v>317</v>
      </c>
      <c r="C142" s="10" t="s">
        <v>168</v>
      </c>
      <c r="D142" s="158">
        <v>76.099999999999994</v>
      </c>
      <c r="E142" s="176">
        <v>9</v>
      </c>
      <c r="F142" s="176">
        <v>9</v>
      </c>
      <c r="G142" s="156">
        <v>10</v>
      </c>
      <c r="H142" s="156">
        <v>10</v>
      </c>
      <c r="J142" s="147"/>
      <c r="K142" s="10"/>
      <c r="L142" s="158"/>
      <c r="M142" s="176"/>
      <c r="N142" s="176"/>
      <c r="O142" s="156"/>
      <c r="P142" s="156"/>
      <c r="R142" s="206"/>
      <c r="S142" s="206"/>
      <c r="T142" s="206"/>
      <c r="U142" s="206"/>
      <c r="V142" s="206">
        <f t="shared" si="4"/>
        <v>-10</v>
      </c>
    </row>
    <row r="143" spans="1:22" ht="11.1" customHeight="1">
      <c r="A143" s="7">
        <v>130</v>
      </c>
      <c r="B143" s="7">
        <v>655</v>
      </c>
      <c r="C143" s="10" t="s">
        <v>211</v>
      </c>
      <c r="D143" s="158">
        <v>72.7</v>
      </c>
      <c r="E143" s="176">
        <v>10</v>
      </c>
      <c r="F143" s="176">
        <v>10</v>
      </c>
      <c r="G143" s="156">
        <v>10</v>
      </c>
      <c r="H143" s="156">
        <v>10</v>
      </c>
      <c r="I143" s="13"/>
      <c r="J143" s="147"/>
      <c r="K143" s="10"/>
      <c r="L143" s="158"/>
      <c r="M143" s="176"/>
      <c r="N143" s="176"/>
      <c r="O143" s="156"/>
      <c r="P143" s="156"/>
      <c r="R143" s="206"/>
      <c r="S143" s="206"/>
      <c r="T143" s="206"/>
      <c r="U143" s="206"/>
      <c r="V143" s="206">
        <f t="shared" si="4"/>
        <v>-10</v>
      </c>
    </row>
    <row r="144" spans="1:22" ht="11.1" customHeight="1">
      <c r="A144" s="7">
        <v>131</v>
      </c>
      <c r="B144" s="7">
        <v>255</v>
      </c>
      <c r="C144" s="10" t="s">
        <v>41</v>
      </c>
      <c r="D144" s="158">
        <v>92.1</v>
      </c>
      <c r="E144" s="176">
        <v>9</v>
      </c>
      <c r="F144" s="176">
        <v>9</v>
      </c>
      <c r="G144" s="156">
        <v>10</v>
      </c>
      <c r="H144" s="156">
        <v>10</v>
      </c>
      <c r="J144" s="147"/>
      <c r="K144" s="10"/>
      <c r="L144" s="158"/>
      <c r="M144" s="176"/>
      <c r="N144" s="176"/>
      <c r="O144" s="156"/>
      <c r="P144" s="156"/>
      <c r="R144" s="206"/>
      <c r="S144" s="206"/>
      <c r="T144" s="206"/>
      <c r="U144" s="206"/>
      <c r="V144" s="206">
        <f t="shared" si="4"/>
        <v>-10</v>
      </c>
    </row>
    <row r="145" spans="1:22" ht="11.1" customHeight="1">
      <c r="A145" s="7">
        <v>132</v>
      </c>
      <c r="B145" s="7">
        <v>318</v>
      </c>
      <c r="C145" s="10" t="s">
        <v>169</v>
      </c>
      <c r="D145" s="158">
        <v>89</v>
      </c>
      <c r="E145" s="176">
        <v>10</v>
      </c>
      <c r="F145" s="176">
        <v>10</v>
      </c>
      <c r="G145" s="156">
        <v>10</v>
      </c>
      <c r="H145" s="156">
        <v>10</v>
      </c>
      <c r="J145" s="147"/>
      <c r="K145" s="10"/>
      <c r="L145" s="158"/>
      <c r="M145" s="176"/>
      <c r="N145" s="176"/>
      <c r="O145" s="156"/>
      <c r="P145" s="156"/>
      <c r="R145" s="206"/>
      <c r="S145" s="206"/>
      <c r="T145" s="206"/>
      <c r="U145" s="206"/>
      <c r="V145" s="206">
        <f t="shared" si="4"/>
        <v>-10</v>
      </c>
    </row>
    <row r="146" spans="1:22" ht="11.1" customHeight="1">
      <c r="A146" s="7">
        <v>133</v>
      </c>
      <c r="B146" s="7">
        <v>538</v>
      </c>
      <c r="C146" s="10" t="s">
        <v>102</v>
      </c>
      <c r="D146" s="158">
        <v>79.5</v>
      </c>
      <c r="E146" s="176">
        <v>8</v>
      </c>
      <c r="F146" s="176">
        <v>8</v>
      </c>
      <c r="G146" s="156">
        <v>7.4</v>
      </c>
      <c r="H146" s="156">
        <v>7.4</v>
      </c>
      <c r="J146" s="147"/>
      <c r="K146" s="10"/>
      <c r="L146" s="158"/>
      <c r="M146" s="176"/>
      <c r="N146" s="176"/>
      <c r="O146" s="156"/>
      <c r="P146" s="156"/>
      <c r="R146" s="206"/>
      <c r="S146" s="206"/>
      <c r="T146" s="206"/>
      <c r="U146" s="206"/>
      <c r="V146" s="206">
        <f t="shared" si="4"/>
        <v>-10</v>
      </c>
    </row>
    <row r="147" spans="1:22" ht="11.1" customHeight="1">
      <c r="A147" s="7">
        <v>134</v>
      </c>
      <c r="B147" s="7">
        <v>642</v>
      </c>
      <c r="C147" s="10" t="s">
        <v>117</v>
      </c>
      <c r="D147" s="158">
        <v>77</v>
      </c>
      <c r="E147" s="176">
        <v>10</v>
      </c>
      <c r="F147" s="176">
        <v>10</v>
      </c>
      <c r="G147" s="156">
        <v>10</v>
      </c>
      <c r="H147" s="156">
        <v>10</v>
      </c>
      <c r="J147" s="147"/>
      <c r="K147" s="10"/>
      <c r="L147" s="158"/>
      <c r="M147" s="176"/>
      <c r="N147" s="176"/>
      <c r="O147" s="156"/>
      <c r="P147" s="156"/>
      <c r="R147" s="206"/>
      <c r="S147" s="206"/>
      <c r="T147" s="206"/>
      <c r="U147" s="206"/>
      <c r="V147" s="206">
        <f t="shared" si="4"/>
        <v>-7.4</v>
      </c>
    </row>
    <row r="148" spans="1:22" ht="11.1" customHeight="1">
      <c r="A148" s="7">
        <v>135</v>
      </c>
      <c r="B148" s="7">
        <v>443</v>
      </c>
      <c r="C148" s="10" t="s">
        <v>313</v>
      </c>
      <c r="D148" s="158">
        <v>89.8</v>
      </c>
      <c r="E148" s="176">
        <v>8</v>
      </c>
      <c r="F148" s="176">
        <v>10</v>
      </c>
      <c r="G148" s="156">
        <v>9</v>
      </c>
      <c r="H148" s="156">
        <v>10</v>
      </c>
      <c r="J148" s="147"/>
      <c r="K148" s="10"/>
      <c r="L148" s="158"/>
      <c r="M148" s="176"/>
      <c r="N148" s="176"/>
      <c r="O148" s="156"/>
      <c r="P148" s="156"/>
      <c r="R148" s="206"/>
      <c r="S148" s="206"/>
      <c r="T148" s="206"/>
      <c r="U148" s="206"/>
      <c r="V148" s="206">
        <f t="shared" ref="V148:V164" si="5">+P148-H147</f>
        <v>-10</v>
      </c>
    </row>
    <row r="149" spans="1:22" ht="11.1" customHeight="1">
      <c r="A149" s="7">
        <v>136</v>
      </c>
      <c r="B149" s="7">
        <v>745</v>
      </c>
      <c r="C149" s="10" t="s">
        <v>62</v>
      </c>
      <c r="D149" s="158">
        <v>78</v>
      </c>
      <c r="E149" s="175">
        <v>10</v>
      </c>
      <c r="F149" s="175">
        <v>10</v>
      </c>
      <c r="G149" s="156">
        <v>8</v>
      </c>
      <c r="H149" s="156">
        <v>10</v>
      </c>
      <c r="I149" s="9"/>
      <c r="J149" s="147"/>
      <c r="K149" s="10"/>
      <c r="L149" s="158"/>
      <c r="M149" s="176"/>
      <c r="N149" s="176"/>
      <c r="O149" s="156"/>
      <c r="P149" s="156"/>
      <c r="Q149" s="9"/>
      <c r="R149" s="206"/>
      <c r="S149" s="206"/>
      <c r="T149" s="206"/>
      <c r="U149" s="206"/>
      <c r="V149" s="206">
        <f t="shared" si="5"/>
        <v>-10</v>
      </c>
    </row>
    <row r="150" spans="1:22" ht="11.1" customHeight="1">
      <c r="A150" s="7">
        <v>137</v>
      </c>
      <c r="B150" s="7">
        <v>435</v>
      </c>
      <c r="C150" s="10" t="s">
        <v>192</v>
      </c>
      <c r="D150" s="158">
        <v>79</v>
      </c>
      <c r="E150" s="176">
        <v>10</v>
      </c>
      <c r="F150" s="176">
        <v>10</v>
      </c>
      <c r="G150" s="156">
        <v>9</v>
      </c>
      <c r="H150" s="156">
        <v>10</v>
      </c>
      <c r="J150" s="147"/>
      <c r="K150" s="10"/>
      <c r="L150" s="158"/>
      <c r="M150" s="175"/>
      <c r="N150" s="175"/>
      <c r="O150" s="156"/>
      <c r="P150" s="156"/>
      <c r="R150" s="206"/>
      <c r="S150" s="206"/>
      <c r="T150" s="206"/>
      <c r="U150" s="206"/>
      <c r="V150" s="206">
        <f t="shared" si="5"/>
        <v>-10</v>
      </c>
    </row>
    <row r="151" spans="1:22" ht="11.1" customHeight="1">
      <c r="A151" s="7">
        <v>138</v>
      </c>
      <c r="B151" s="7">
        <v>752</v>
      </c>
      <c r="C151" s="10" t="s">
        <v>318</v>
      </c>
      <c r="D151" s="158">
        <v>90</v>
      </c>
      <c r="E151" s="176">
        <v>10</v>
      </c>
      <c r="F151" s="176">
        <v>10</v>
      </c>
      <c r="G151" s="156">
        <v>8</v>
      </c>
      <c r="H151" s="156">
        <v>10</v>
      </c>
      <c r="J151" s="147"/>
      <c r="K151" s="10"/>
      <c r="L151" s="158"/>
      <c r="M151" s="176"/>
      <c r="N151" s="176"/>
      <c r="O151" s="156"/>
      <c r="P151" s="156"/>
      <c r="R151" s="206"/>
      <c r="S151" s="206"/>
      <c r="T151" s="206"/>
      <c r="U151" s="206"/>
      <c r="V151" s="206">
        <f t="shared" si="5"/>
        <v>-10</v>
      </c>
    </row>
    <row r="152" spans="1:22" ht="11.1" customHeight="1">
      <c r="A152" s="7">
        <v>139</v>
      </c>
      <c r="B152" s="7">
        <v>539</v>
      </c>
      <c r="C152" s="10" t="s">
        <v>103</v>
      </c>
      <c r="D152" s="158">
        <v>85</v>
      </c>
      <c r="E152" s="176">
        <v>10</v>
      </c>
      <c r="F152" s="176">
        <v>10</v>
      </c>
      <c r="G152" s="156">
        <v>10</v>
      </c>
      <c r="H152" s="156">
        <v>10</v>
      </c>
      <c r="J152" s="147"/>
      <c r="K152" s="10"/>
      <c r="L152" s="158"/>
      <c r="M152" s="176"/>
      <c r="N152" s="176"/>
      <c r="O152" s="156"/>
      <c r="P152" s="156"/>
      <c r="R152" s="206"/>
      <c r="S152" s="206"/>
      <c r="T152" s="206"/>
      <c r="U152" s="206"/>
      <c r="V152" s="206">
        <f t="shared" si="5"/>
        <v>-10</v>
      </c>
    </row>
    <row r="153" spans="1:22" ht="11.1" customHeight="1">
      <c r="A153" s="7">
        <v>140</v>
      </c>
      <c r="B153" s="7">
        <v>259</v>
      </c>
      <c r="C153" s="10" t="s">
        <v>43</v>
      </c>
      <c r="D153" s="158">
        <v>100</v>
      </c>
      <c r="E153" s="176">
        <v>10</v>
      </c>
      <c r="F153" s="176">
        <v>10</v>
      </c>
      <c r="G153" s="156">
        <v>10</v>
      </c>
      <c r="H153" s="156">
        <v>10</v>
      </c>
      <c r="J153" s="147"/>
      <c r="K153" s="10"/>
      <c r="L153" s="158"/>
      <c r="M153" s="176"/>
      <c r="N153" s="176"/>
      <c r="O153" s="156"/>
      <c r="P153" s="156"/>
      <c r="R153" s="206"/>
      <c r="S153" s="206"/>
      <c r="T153" s="206"/>
      <c r="U153" s="206"/>
      <c r="V153" s="206">
        <f t="shared" si="5"/>
        <v>-10</v>
      </c>
    </row>
    <row r="154" spans="1:22" ht="11.1" customHeight="1">
      <c r="A154" s="7">
        <v>141</v>
      </c>
      <c r="B154" s="7">
        <v>257</v>
      </c>
      <c r="C154" s="10" t="s">
        <v>42</v>
      </c>
      <c r="D154" s="158">
        <v>63.9</v>
      </c>
      <c r="E154" s="176">
        <v>5</v>
      </c>
      <c r="F154" s="176">
        <v>10</v>
      </c>
      <c r="G154" s="156">
        <v>10</v>
      </c>
      <c r="H154" s="156">
        <v>10</v>
      </c>
      <c r="J154" s="147"/>
      <c r="K154" s="10"/>
      <c r="L154" s="158"/>
      <c r="M154" s="176"/>
      <c r="N154" s="176"/>
      <c r="O154" s="156"/>
      <c r="P154" s="156"/>
      <c r="R154" s="206"/>
      <c r="S154" s="206"/>
      <c r="T154" s="206"/>
      <c r="U154" s="206"/>
      <c r="V154" s="206">
        <f t="shared" si="5"/>
        <v>-10</v>
      </c>
    </row>
    <row r="155" spans="1:22" ht="11.1" customHeight="1">
      <c r="A155" s="7">
        <v>142</v>
      </c>
      <c r="B155" s="7">
        <v>651</v>
      </c>
      <c r="C155" s="10" t="s">
        <v>217</v>
      </c>
      <c r="D155" s="158">
        <v>86.7</v>
      </c>
      <c r="E155" s="176">
        <v>8</v>
      </c>
      <c r="F155" s="176">
        <v>10</v>
      </c>
      <c r="G155" s="156">
        <v>10</v>
      </c>
      <c r="H155" s="156">
        <v>10</v>
      </c>
      <c r="J155" s="147"/>
      <c r="K155" s="10"/>
      <c r="L155" s="158"/>
      <c r="M155" s="176"/>
      <c r="N155" s="176"/>
      <c r="O155" s="156"/>
      <c r="P155" s="156"/>
      <c r="R155" s="206"/>
      <c r="S155" s="206"/>
      <c r="T155" s="206"/>
      <c r="U155" s="206"/>
      <c r="V155" s="206">
        <f t="shared" si="5"/>
        <v>-10</v>
      </c>
    </row>
    <row r="156" spans="1:22" ht="11.1" customHeight="1">
      <c r="A156" s="7">
        <v>143</v>
      </c>
      <c r="B156" s="7">
        <v>747</v>
      </c>
      <c r="C156" s="10" t="s">
        <v>63</v>
      </c>
      <c r="D156" s="158">
        <v>88.7</v>
      </c>
      <c r="E156" s="175">
        <v>10</v>
      </c>
      <c r="F156" s="175">
        <v>10</v>
      </c>
      <c r="G156" s="156">
        <v>8</v>
      </c>
      <c r="H156" s="156">
        <v>10</v>
      </c>
      <c r="J156" s="147"/>
      <c r="K156" s="10"/>
      <c r="L156" s="158"/>
      <c r="M156" s="176"/>
      <c r="N156" s="176"/>
      <c r="O156" s="156"/>
      <c r="P156" s="156"/>
      <c r="R156" s="206"/>
      <c r="S156" s="206"/>
      <c r="T156" s="206"/>
      <c r="U156" s="206"/>
      <c r="V156" s="206">
        <f t="shared" si="5"/>
        <v>-10</v>
      </c>
    </row>
    <row r="157" spans="1:22" ht="11.1" customHeight="1">
      <c r="A157" s="7">
        <v>144</v>
      </c>
      <c r="B157" s="7">
        <v>654</v>
      </c>
      <c r="C157" s="20" t="s">
        <v>218</v>
      </c>
      <c r="D157" s="158">
        <v>76</v>
      </c>
      <c r="E157" s="176">
        <v>10</v>
      </c>
      <c r="F157" s="176">
        <v>10</v>
      </c>
      <c r="G157" s="156">
        <v>10</v>
      </c>
      <c r="H157" s="156">
        <v>10</v>
      </c>
      <c r="J157" s="147"/>
      <c r="K157" s="10"/>
      <c r="L157" s="158"/>
      <c r="M157" s="175"/>
      <c r="N157" s="175"/>
      <c r="O157" s="156"/>
      <c r="P157" s="156"/>
      <c r="R157" s="206"/>
      <c r="S157" s="206"/>
      <c r="T157" s="206"/>
      <c r="U157" s="206"/>
      <c r="V157" s="206">
        <f t="shared" si="5"/>
        <v>-10</v>
      </c>
    </row>
    <row r="158" spans="1:22" ht="11.1" customHeight="1">
      <c r="A158" s="7">
        <v>145</v>
      </c>
      <c r="B158" s="7">
        <v>440</v>
      </c>
      <c r="C158" s="10" t="s">
        <v>194</v>
      </c>
      <c r="D158" s="158">
        <v>87.8</v>
      </c>
      <c r="E158" s="176">
        <v>8</v>
      </c>
      <c r="F158" s="176">
        <v>10</v>
      </c>
      <c r="G158" s="156">
        <v>9</v>
      </c>
      <c r="H158" s="156">
        <v>10</v>
      </c>
      <c r="J158" s="147"/>
      <c r="K158" s="20"/>
      <c r="L158" s="158"/>
      <c r="M158" s="176"/>
      <c r="N158" s="176"/>
      <c r="O158" s="156"/>
      <c r="P158" s="156"/>
      <c r="R158" s="206"/>
      <c r="S158" s="206"/>
      <c r="T158" s="206"/>
      <c r="U158" s="206"/>
      <c r="V158" s="206">
        <f t="shared" si="5"/>
        <v>-10</v>
      </c>
    </row>
    <row r="159" spans="1:22" ht="11.1" customHeight="1">
      <c r="A159" s="7">
        <v>146</v>
      </c>
      <c r="B159" s="7">
        <v>749</v>
      </c>
      <c r="C159" s="10" t="s">
        <v>64</v>
      </c>
      <c r="D159" s="158">
        <v>85</v>
      </c>
      <c r="E159" s="175">
        <v>10</v>
      </c>
      <c r="F159" s="175">
        <v>10</v>
      </c>
      <c r="G159" s="156">
        <v>8</v>
      </c>
      <c r="H159" s="156">
        <v>10</v>
      </c>
      <c r="J159" s="147"/>
      <c r="K159" s="10"/>
      <c r="L159" s="158"/>
      <c r="M159" s="176"/>
      <c r="N159" s="176"/>
      <c r="O159" s="156"/>
      <c r="P159" s="156"/>
      <c r="R159" s="206"/>
      <c r="S159" s="206"/>
      <c r="T159" s="206"/>
      <c r="U159" s="206"/>
      <c r="V159" s="206">
        <f t="shared" si="5"/>
        <v>-10</v>
      </c>
    </row>
    <row r="160" spans="1:22" ht="11.1" customHeight="1">
      <c r="A160" s="7">
        <v>147</v>
      </c>
      <c r="B160" s="7">
        <v>632</v>
      </c>
      <c r="C160" s="10" t="s">
        <v>220</v>
      </c>
      <c r="D160" s="158">
        <v>88.4</v>
      </c>
      <c r="E160" s="176">
        <v>10</v>
      </c>
      <c r="F160" s="176">
        <v>10</v>
      </c>
      <c r="G160" s="156">
        <v>10</v>
      </c>
      <c r="H160" s="156">
        <v>10</v>
      </c>
      <c r="J160" s="147"/>
      <c r="K160" s="10"/>
      <c r="L160" s="158"/>
      <c r="M160" s="175"/>
      <c r="N160" s="175"/>
      <c r="O160" s="156"/>
      <c r="P160" s="156"/>
      <c r="R160" s="206"/>
      <c r="S160" s="206"/>
      <c r="T160" s="206"/>
      <c r="U160" s="206"/>
      <c r="V160" s="206">
        <f t="shared" si="5"/>
        <v>-10</v>
      </c>
    </row>
    <row r="161" spans="1:22" ht="11.1" customHeight="1">
      <c r="A161" s="7">
        <v>148</v>
      </c>
      <c r="B161" s="7">
        <v>543</v>
      </c>
      <c r="C161" s="10" t="s">
        <v>104</v>
      </c>
      <c r="D161" s="158">
        <v>100</v>
      </c>
      <c r="E161" s="176">
        <v>10</v>
      </c>
      <c r="F161" s="176">
        <v>10</v>
      </c>
      <c r="G161" s="156">
        <v>10</v>
      </c>
      <c r="H161" s="156">
        <v>10</v>
      </c>
      <c r="J161" s="147"/>
      <c r="K161" s="10"/>
      <c r="L161" s="158"/>
      <c r="M161" s="176"/>
      <c r="N161" s="176"/>
      <c r="O161" s="156"/>
      <c r="P161" s="156"/>
      <c r="R161" s="206"/>
      <c r="S161" s="206"/>
      <c r="T161" s="206"/>
      <c r="U161" s="206"/>
      <c r="V161" s="206">
        <f t="shared" si="5"/>
        <v>-10</v>
      </c>
    </row>
    <row r="162" spans="1:22" ht="11.1" customHeight="1">
      <c r="A162" s="7">
        <v>149</v>
      </c>
      <c r="B162" s="7">
        <v>319</v>
      </c>
      <c r="C162" s="10" t="s">
        <v>170</v>
      </c>
      <c r="D162" s="158">
        <v>85.7</v>
      </c>
      <c r="E162" s="176">
        <v>10</v>
      </c>
      <c r="F162" s="176">
        <v>10</v>
      </c>
      <c r="G162" s="156">
        <v>10</v>
      </c>
      <c r="H162" s="156">
        <v>10</v>
      </c>
      <c r="J162" s="147"/>
      <c r="K162" s="10"/>
      <c r="L162" s="158"/>
      <c r="M162" s="176"/>
      <c r="N162" s="176"/>
      <c r="O162" s="156"/>
      <c r="P162" s="156"/>
      <c r="R162" s="206"/>
      <c r="S162" s="206"/>
      <c r="T162" s="206"/>
      <c r="U162" s="206"/>
      <c r="V162" s="206">
        <f t="shared" si="5"/>
        <v>-10</v>
      </c>
    </row>
    <row r="163" spans="1:22" ht="11.1" customHeight="1">
      <c r="A163" s="7">
        <v>150</v>
      </c>
      <c r="B163" s="7">
        <v>320</v>
      </c>
      <c r="C163" s="10" t="s">
        <v>171</v>
      </c>
      <c r="D163" s="158">
        <v>90.2</v>
      </c>
      <c r="E163" s="176">
        <v>10</v>
      </c>
      <c r="F163" s="176">
        <v>10</v>
      </c>
      <c r="G163" s="156">
        <v>10</v>
      </c>
      <c r="H163" s="156">
        <v>10</v>
      </c>
      <c r="J163" s="147"/>
      <c r="K163" s="10"/>
      <c r="L163" s="158"/>
      <c r="M163" s="176"/>
      <c r="N163" s="176"/>
      <c r="O163" s="156"/>
      <c r="P163" s="156"/>
      <c r="R163" s="206"/>
      <c r="S163" s="206"/>
      <c r="T163" s="206"/>
      <c r="U163" s="206"/>
      <c r="V163" s="206">
        <f t="shared" si="5"/>
        <v>-10</v>
      </c>
    </row>
    <row r="164" spans="1:22" ht="11.1" customHeight="1">
      <c r="B164" s="147"/>
      <c r="C164" s="12"/>
      <c r="D164" s="158"/>
      <c r="G164" s="156"/>
      <c r="H164" s="156"/>
      <c r="J164" s="8"/>
      <c r="K164" s="10"/>
      <c r="L164" s="158"/>
      <c r="M164" s="176"/>
      <c r="N164" s="176"/>
      <c r="O164" s="156"/>
      <c r="P164" s="156"/>
      <c r="R164" s="206"/>
      <c r="S164" s="206"/>
      <c r="T164" s="206"/>
      <c r="U164" s="206"/>
      <c r="V164" s="206">
        <f t="shared" si="5"/>
        <v>-10</v>
      </c>
    </row>
    <row r="165" spans="1:22" ht="11.1" customHeight="1">
      <c r="B165" s="147"/>
      <c r="C165" s="10"/>
      <c r="D165" s="158"/>
      <c r="G165" s="156"/>
      <c r="H165" s="156"/>
      <c r="I165" s="7"/>
      <c r="J165" s="206"/>
      <c r="K165" s="206"/>
      <c r="L165" s="206"/>
      <c r="M165" s="206"/>
      <c r="N165" s="206"/>
    </row>
    <row r="166" spans="1:22" ht="11.1" customHeight="1">
      <c r="A166" s="6"/>
      <c r="B166" s="147"/>
      <c r="C166" s="12"/>
      <c r="D166" s="158"/>
      <c r="G166" s="156"/>
      <c r="H166" s="156"/>
      <c r="I166" s="7"/>
      <c r="J166" s="206"/>
      <c r="K166" s="206"/>
      <c r="L166" s="206"/>
      <c r="M166" s="206"/>
      <c r="N166" s="206"/>
    </row>
    <row r="167" spans="1:22" ht="11.1" customHeight="1">
      <c r="A167" s="6"/>
      <c r="B167" s="147"/>
      <c r="C167" s="10"/>
      <c r="D167" s="158"/>
      <c r="G167" s="156"/>
      <c r="H167" s="156"/>
      <c r="I167" s="7"/>
      <c r="J167" s="206"/>
      <c r="K167" s="206"/>
      <c r="L167" s="206"/>
      <c r="M167" s="206"/>
      <c r="N167" s="206"/>
    </row>
    <row r="168" spans="1:22" ht="11.1" customHeight="1">
      <c r="A168" s="6"/>
      <c r="B168" s="147"/>
      <c r="C168" s="10"/>
      <c r="D168" s="158"/>
      <c r="G168" s="156"/>
      <c r="H168" s="156"/>
      <c r="I168" s="7"/>
      <c r="J168" s="206"/>
      <c r="K168" s="206"/>
      <c r="L168" s="206"/>
      <c r="M168" s="206"/>
      <c r="N168" s="206"/>
    </row>
    <row r="169" spans="1:22" ht="11.1" customHeight="1">
      <c r="A169" s="6"/>
      <c r="B169" s="147"/>
      <c r="C169" s="10"/>
      <c r="D169" s="158"/>
      <c r="G169" s="156"/>
      <c r="H169" s="156"/>
      <c r="I169" s="7"/>
      <c r="J169" s="206"/>
      <c r="K169" s="206"/>
      <c r="L169" s="206"/>
      <c r="M169" s="206"/>
      <c r="N169" s="206"/>
    </row>
    <row r="170" spans="1:22" ht="11.1" customHeight="1">
      <c r="A170" s="6"/>
      <c r="B170" s="147"/>
      <c r="C170" s="10"/>
      <c r="D170" s="158"/>
      <c r="G170" s="156"/>
      <c r="H170" s="156"/>
      <c r="I170" s="7"/>
      <c r="J170" s="206"/>
      <c r="K170" s="206"/>
      <c r="L170" s="206"/>
      <c r="M170" s="206"/>
      <c r="N170" s="206"/>
    </row>
    <row r="171" spans="1:22" ht="11.1" customHeight="1">
      <c r="A171" s="6"/>
      <c r="B171" s="147"/>
      <c r="C171" s="10"/>
      <c r="D171" s="158"/>
      <c r="G171" s="156"/>
      <c r="H171" s="156"/>
      <c r="I171" s="7"/>
      <c r="J171" s="206"/>
      <c r="K171" s="206"/>
      <c r="L171" s="206"/>
      <c r="M171" s="206"/>
      <c r="N171" s="206"/>
    </row>
    <row r="172" spans="1:22" ht="11.1" customHeight="1">
      <c r="A172" s="6"/>
      <c r="B172" s="147"/>
      <c r="C172" s="10"/>
      <c r="D172" s="158"/>
      <c r="G172" s="156"/>
      <c r="H172" s="156"/>
      <c r="I172" s="7"/>
      <c r="J172" s="206"/>
      <c r="K172" s="206"/>
      <c r="L172" s="206"/>
      <c r="M172" s="206"/>
      <c r="N172" s="206"/>
    </row>
    <row r="173" spans="1:22" ht="11.1" customHeight="1">
      <c r="A173" s="6"/>
      <c r="B173" s="147"/>
      <c r="C173" s="10"/>
      <c r="D173" s="158"/>
      <c r="G173" s="156"/>
      <c r="H173" s="156"/>
      <c r="I173" s="7"/>
      <c r="J173" s="206"/>
      <c r="K173" s="206"/>
      <c r="L173" s="206"/>
      <c r="M173" s="206"/>
      <c r="N173" s="206"/>
    </row>
    <row r="174" spans="1:22" ht="11.1" customHeight="1">
      <c r="A174" s="6"/>
      <c r="B174" s="147"/>
      <c r="C174" s="10"/>
      <c r="D174" s="158"/>
      <c r="G174" s="156"/>
      <c r="H174" s="156"/>
      <c r="I174" s="7"/>
      <c r="J174" s="206"/>
      <c r="K174" s="206"/>
      <c r="L174" s="206"/>
      <c r="M174" s="206"/>
      <c r="N174" s="206"/>
    </row>
    <row r="175" spans="1:22" ht="11.1" customHeight="1">
      <c r="A175" s="6"/>
      <c r="B175" s="147"/>
      <c r="C175" s="10"/>
      <c r="D175" s="158"/>
      <c r="G175" s="156"/>
      <c r="H175" s="156"/>
      <c r="I175" s="9"/>
      <c r="J175" s="206"/>
      <c r="K175" s="206"/>
      <c r="L175" s="206"/>
      <c r="M175" s="206"/>
      <c r="N175" s="206"/>
    </row>
    <row r="176" spans="1:22" ht="11.1" customHeight="1">
      <c r="A176" s="9"/>
      <c r="B176" s="147"/>
      <c r="C176" s="10"/>
      <c r="D176" s="158"/>
      <c r="G176" s="156"/>
      <c r="H176" s="156"/>
      <c r="I176" s="7"/>
      <c r="J176" s="206"/>
      <c r="K176" s="206"/>
      <c r="L176" s="206"/>
      <c r="M176" s="206"/>
      <c r="N176" s="206"/>
    </row>
    <row r="177" spans="1:14" ht="11.1" customHeight="1">
      <c r="A177" s="6"/>
      <c r="B177" s="147"/>
      <c r="C177" s="10"/>
      <c r="D177" s="158"/>
      <c r="E177" s="175"/>
      <c r="F177" s="175"/>
      <c r="G177" s="156"/>
      <c r="H177" s="156"/>
      <c r="I177" s="7"/>
      <c r="J177" s="206"/>
      <c r="K177" s="206"/>
      <c r="L177" s="206"/>
      <c r="M177" s="206"/>
      <c r="N177" s="206"/>
    </row>
    <row r="178" spans="1:14" ht="11.1" customHeight="1">
      <c r="A178" s="6"/>
      <c r="D178" s="159"/>
      <c r="E178" s="175"/>
      <c r="F178" s="175"/>
      <c r="G178" s="156"/>
      <c r="H178" s="156"/>
      <c r="I178" s="7"/>
      <c r="J178" s="206"/>
      <c r="K178" s="206"/>
      <c r="L178" s="206"/>
      <c r="M178" s="206"/>
      <c r="N178" s="206"/>
    </row>
    <row r="179" spans="1:14" ht="11.1" customHeight="1">
      <c r="A179" s="6"/>
      <c r="D179" s="159"/>
      <c r="E179" s="175"/>
      <c r="F179" s="175"/>
      <c r="G179" s="156"/>
      <c r="H179" s="156"/>
      <c r="J179" s="8"/>
    </row>
    <row r="180" spans="1:14" ht="11.1" customHeight="1">
      <c r="D180" s="159"/>
      <c r="E180" s="175"/>
      <c r="F180" s="175"/>
      <c r="G180" s="156"/>
      <c r="H180" s="156"/>
      <c r="J180" s="8"/>
    </row>
    <row r="181" spans="1:14" ht="11.1" customHeight="1">
      <c r="D181" s="159"/>
      <c r="E181" s="175"/>
      <c r="F181" s="175"/>
      <c r="G181" s="156"/>
      <c r="H181" s="156"/>
      <c r="J181" s="8"/>
    </row>
    <row r="182" spans="1:14" ht="11.1" customHeight="1">
      <c r="A182" s="7" t="s">
        <v>314</v>
      </c>
      <c r="D182" s="159"/>
      <c r="E182" s="175"/>
      <c r="F182" s="175"/>
      <c r="G182" s="156"/>
      <c r="H182" s="156"/>
      <c r="J182" s="8"/>
      <c r="K182" s="8"/>
    </row>
    <row r="183" spans="1:14" ht="11.1" customHeight="1">
      <c r="D183" s="159"/>
      <c r="E183" s="175"/>
      <c r="F183" s="175"/>
      <c r="G183" s="156"/>
      <c r="H183" s="156"/>
      <c r="J183" s="8"/>
      <c r="K183" s="8"/>
    </row>
    <row r="184" spans="1:14" ht="11.1" customHeight="1">
      <c r="D184" s="159"/>
      <c r="E184" s="175"/>
      <c r="F184" s="175"/>
      <c r="G184" s="156"/>
      <c r="H184" s="156"/>
      <c r="J184" s="8"/>
      <c r="K184" s="8"/>
    </row>
    <row r="185" spans="1:14" ht="11.1" customHeight="1">
      <c r="D185" s="159"/>
      <c r="E185" s="175"/>
      <c r="F185" s="175"/>
      <c r="G185" s="156"/>
      <c r="H185" s="156"/>
      <c r="J185" s="8"/>
      <c r="K185" s="8"/>
    </row>
    <row r="186" spans="1:14" ht="11.1" customHeight="1">
      <c r="B186" s="2"/>
      <c r="D186" s="159"/>
      <c r="E186" s="175"/>
      <c r="F186" s="175"/>
      <c r="G186" s="156"/>
      <c r="H186" s="156"/>
      <c r="J186" s="8"/>
      <c r="K186" s="8"/>
    </row>
    <row r="187" spans="1:14" s="2" customFormat="1" ht="11.1" customHeight="1">
      <c r="A187" s="7"/>
      <c r="D187" s="160"/>
      <c r="E187" s="175"/>
      <c r="F187" s="175"/>
      <c r="G187" s="156"/>
      <c r="H187" s="156"/>
    </row>
    <row r="188" spans="1:14" s="2" customFormat="1" ht="11.1" customHeight="1">
      <c r="B188" s="15"/>
      <c r="C188" s="14"/>
      <c r="D188" s="160"/>
      <c r="E188" s="175"/>
      <c r="F188" s="175"/>
      <c r="G188" s="156"/>
      <c r="H188" s="156"/>
    </row>
    <row r="189" spans="1:14" s="15" customFormat="1" ht="11.1" customHeight="1">
      <c r="A189" s="2"/>
      <c r="B189" s="7"/>
      <c r="C189" s="14"/>
      <c r="D189" s="161"/>
      <c r="E189" s="175"/>
      <c r="F189" s="175"/>
      <c r="G189" s="156"/>
      <c r="H189" s="156"/>
    </row>
    <row r="190" spans="1:14" ht="11.1" customHeight="1">
      <c r="A190" s="15"/>
      <c r="D190" s="159"/>
      <c r="E190" s="175"/>
      <c r="F190" s="175"/>
      <c r="G190" s="156"/>
      <c r="H190" s="156"/>
    </row>
    <row r="191" spans="1:14" ht="11.1" customHeight="1">
      <c r="C191" s="16"/>
      <c r="D191" s="162"/>
      <c r="E191" s="175"/>
      <c r="F191" s="175"/>
      <c r="G191" s="156"/>
      <c r="H191" s="156"/>
    </row>
    <row r="192" spans="1:14" ht="11.1" customHeight="1">
      <c r="C192" s="17"/>
      <c r="E192" s="175"/>
      <c r="F192" s="175"/>
      <c r="G192" s="156"/>
      <c r="H192" s="156"/>
    </row>
    <row r="193" spans="3:8" ht="11.1" customHeight="1">
      <c r="C193" s="18"/>
      <c r="E193" s="175"/>
      <c r="F193" s="175"/>
      <c r="G193" s="156"/>
      <c r="H193" s="156"/>
    </row>
    <row r="194" spans="3:8" ht="11.1" customHeight="1">
      <c r="C194" s="18"/>
      <c r="E194" s="175"/>
      <c r="F194" s="175"/>
      <c r="G194" s="156"/>
      <c r="H194" s="156"/>
    </row>
    <row r="195" spans="3:8" ht="11.1" customHeight="1">
      <c r="C195" s="17"/>
      <c r="E195" s="175"/>
      <c r="F195" s="175"/>
      <c r="G195" s="156"/>
      <c r="H195" s="156"/>
    </row>
    <row r="196" spans="3:8" ht="11.1" customHeight="1">
      <c r="C196" s="17"/>
      <c r="E196" s="175"/>
      <c r="F196" s="175"/>
      <c r="G196" s="156"/>
      <c r="H196" s="156"/>
    </row>
    <row r="197" spans="3:8" ht="11.1" customHeight="1">
      <c r="C197" s="18"/>
      <c r="E197" s="175"/>
      <c r="F197" s="175"/>
      <c r="G197" s="156"/>
      <c r="H197" s="156"/>
    </row>
    <row r="198" spans="3:8" ht="11.1" customHeight="1">
      <c r="C198" s="18"/>
      <c r="E198" s="175"/>
      <c r="F198" s="175"/>
      <c r="G198" s="156"/>
      <c r="H198" s="156"/>
    </row>
    <row r="199" spans="3:8" ht="11.1" customHeight="1">
      <c r="C199" s="18"/>
      <c r="E199" s="175"/>
      <c r="F199" s="175"/>
      <c r="G199" s="156"/>
      <c r="H199" s="156"/>
    </row>
    <row r="200" spans="3:8" ht="11.1" customHeight="1">
      <c r="C200" s="18"/>
      <c r="E200" s="175"/>
      <c r="F200" s="175"/>
      <c r="G200" s="156"/>
      <c r="H200" s="156"/>
    </row>
    <row r="201" spans="3:8" ht="11.1" customHeight="1">
      <c r="C201" s="18"/>
      <c r="E201" s="175"/>
      <c r="F201" s="175"/>
      <c r="G201" s="156"/>
      <c r="H201" s="156"/>
    </row>
    <row r="202" spans="3:8" ht="11.1" customHeight="1">
      <c r="C202" s="17"/>
      <c r="E202" s="175"/>
      <c r="F202" s="175"/>
      <c r="G202" s="156"/>
      <c r="H202" s="156"/>
    </row>
    <row r="203" spans="3:8" ht="11.1" customHeight="1">
      <c r="C203" s="18"/>
      <c r="E203" s="175"/>
      <c r="F203" s="175"/>
      <c r="G203" s="156"/>
      <c r="H203" s="156"/>
    </row>
    <row r="204" spans="3:8" ht="11.1" customHeight="1">
      <c r="C204" s="17"/>
      <c r="E204" s="175"/>
      <c r="F204" s="175"/>
      <c r="G204" s="156"/>
      <c r="H204" s="156"/>
    </row>
    <row r="205" spans="3:8" ht="11.1" customHeight="1">
      <c r="C205" s="17"/>
      <c r="E205" s="175"/>
      <c r="F205" s="175"/>
      <c r="G205" s="156"/>
      <c r="H205" s="156"/>
    </row>
    <row r="206" spans="3:8" ht="11.1" customHeight="1">
      <c r="C206" s="17"/>
      <c r="E206" s="175"/>
      <c r="F206" s="175"/>
      <c r="G206" s="156"/>
      <c r="H206" s="156"/>
    </row>
    <row r="207" spans="3:8" ht="11.1" customHeight="1">
      <c r="C207" s="18"/>
      <c r="E207" s="175"/>
      <c r="F207" s="175"/>
      <c r="G207" s="156"/>
      <c r="H207" s="156"/>
    </row>
    <row r="208" spans="3:8" ht="11.1" customHeight="1">
      <c r="E208" s="175"/>
      <c r="F208" s="175"/>
      <c r="G208" s="156"/>
      <c r="H208" s="156"/>
    </row>
    <row r="209" spans="5:8" ht="11.1" customHeight="1">
      <c r="E209" s="175"/>
      <c r="F209" s="175"/>
      <c r="G209" s="156"/>
      <c r="H209" s="156"/>
    </row>
    <row r="210" spans="5:8" ht="11.1" customHeight="1">
      <c r="E210" s="175"/>
      <c r="F210" s="175"/>
      <c r="G210" s="156"/>
      <c r="H210" s="156"/>
    </row>
    <row r="211" spans="5:8" ht="11.1" customHeight="1">
      <c r="E211" s="175"/>
      <c r="F211" s="175"/>
      <c r="G211" s="156"/>
      <c r="H211" s="156"/>
    </row>
    <row r="212" spans="5:8" ht="11.1" customHeight="1">
      <c r="E212" s="175"/>
      <c r="F212" s="175"/>
      <c r="G212" s="156"/>
      <c r="H212" s="156"/>
    </row>
    <row r="213" spans="5:8" ht="11.1" customHeight="1">
      <c r="E213" s="175"/>
      <c r="F213" s="175"/>
      <c r="G213" s="156"/>
      <c r="H213" s="156"/>
    </row>
    <row r="214" spans="5:8" ht="11.1" customHeight="1">
      <c r="E214" s="175"/>
      <c r="F214" s="175"/>
      <c r="G214" s="156"/>
      <c r="H214" s="156"/>
    </row>
    <row r="215" spans="5:8" ht="11.1" customHeight="1">
      <c r="E215" s="175"/>
      <c r="F215" s="175"/>
      <c r="G215" s="156"/>
      <c r="H215" s="156"/>
    </row>
    <row r="216" spans="5:8" ht="11.1" customHeight="1">
      <c r="E216" s="175"/>
      <c r="F216" s="175"/>
      <c r="G216" s="156"/>
      <c r="H216" s="156"/>
    </row>
    <row r="217" spans="5:8" ht="11.1" customHeight="1">
      <c r="E217" s="175"/>
      <c r="F217" s="175"/>
      <c r="G217" s="156"/>
      <c r="H217" s="156"/>
    </row>
    <row r="218" spans="5:8" ht="11.1" customHeight="1">
      <c r="E218" s="175"/>
      <c r="F218" s="175"/>
      <c r="G218" s="156"/>
      <c r="H218" s="156"/>
    </row>
    <row r="219" spans="5:8" ht="11.1" customHeight="1">
      <c r="E219" s="175"/>
      <c r="F219" s="175"/>
      <c r="G219" s="156"/>
      <c r="H219" s="156"/>
    </row>
    <row r="220" spans="5:8" ht="11.1" customHeight="1">
      <c r="E220" s="175"/>
      <c r="F220" s="175"/>
      <c r="G220" s="156"/>
      <c r="H220" s="156"/>
    </row>
    <row r="221" spans="5:8" ht="11.1" customHeight="1">
      <c r="E221" s="175"/>
      <c r="F221" s="175"/>
      <c r="G221" s="156"/>
      <c r="H221" s="156"/>
    </row>
    <row r="222" spans="5:8" ht="11.1" customHeight="1">
      <c r="E222" s="175"/>
      <c r="F222" s="175"/>
      <c r="G222" s="156"/>
      <c r="H222" s="156"/>
    </row>
    <row r="223" spans="5:8" ht="11.1" customHeight="1">
      <c r="E223" s="175"/>
      <c r="F223" s="175"/>
      <c r="G223" s="156"/>
      <c r="H223" s="156"/>
    </row>
    <row r="224" spans="5:8" ht="11.1" customHeight="1">
      <c r="E224" s="175"/>
      <c r="F224" s="175"/>
      <c r="G224" s="156"/>
      <c r="H224" s="156"/>
    </row>
    <row r="225" spans="5:8" ht="11.1" customHeight="1">
      <c r="E225" s="175"/>
      <c r="F225" s="175"/>
      <c r="G225" s="156"/>
      <c r="H225" s="156"/>
    </row>
    <row r="226" spans="5:8" ht="11.1" customHeight="1">
      <c r="E226" s="175"/>
      <c r="F226" s="175"/>
      <c r="G226" s="156"/>
      <c r="H226" s="156"/>
    </row>
    <row r="227" spans="5:8" ht="11.1" customHeight="1">
      <c r="E227" s="175"/>
      <c r="F227" s="175"/>
      <c r="G227" s="156"/>
      <c r="H227" s="156"/>
    </row>
    <row r="228" spans="5:8" ht="11.1" customHeight="1">
      <c r="E228" s="175"/>
      <c r="F228" s="175"/>
      <c r="G228" s="156"/>
      <c r="H228" s="156"/>
    </row>
    <row r="229" spans="5:8" ht="11.1" customHeight="1">
      <c r="E229" s="175"/>
      <c r="F229" s="175"/>
      <c r="G229" s="156"/>
      <c r="H229" s="156"/>
    </row>
    <row r="230" spans="5:8" ht="11.1" customHeight="1">
      <c r="E230" s="175"/>
      <c r="F230" s="175"/>
      <c r="G230" s="156"/>
      <c r="H230" s="156"/>
    </row>
    <row r="231" spans="5:8" ht="11.1" customHeight="1">
      <c r="E231" s="175"/>
      <c r="F231" s="175"/>
      <c r="G231" s="156"/>
      <c r="H231" s="156"/>
    </row>
    <row r="232" spans="5:8" ht="11.1" customHeight="1">
      <c r="E232" s="175"/>
      <c r="F232" s="175"/>
      <c r="G232" s="156"/>
      <c r="H232" s="156"/>
    </row>
    <row r="233" spans="5:8" ht="11.1" customHeight="1">
      <c r="E233" s="175"/>
      <c r="F233" s="175"/>
      <c r="G233" s="156"/>
      <c r="H233" s="156"/>
    </row>
    <row r="234" spans="5:8" ht="11.1" customHeight="1">
      <c r="E234" s="175"/>
      <c r="F234" s="175"/>
      <c r="G234" s="156"/>
      <c r="H234" s="156"/>
    </row>
    <row r="235" spans="5:8" ht="11.1" customHeight="1">
      <c r="E235" s="175"/>
      <c r="F235" s="175"/>
      <c r="G235" s="156"/>
      <c r="H235" s="156"/>
    </row>
    <row r="236" spans="5:8" ht="11.1" customHeight="1">
      <c r="E236" s="175"/>
      <c r="F236" s="175"/>
      <c r="G236" s="156"/>
      <c r="H236" s="156"/>
    </row>
    <row r="237" spans="5:8" ht="11.1" customHeight="1">
      <c r="E237" s="175"/>
      <c r="F237" s="175"/>
      <c r="G237" s="156"/>
      <c r="H237" s="156"/>
    </row>
    <row r="238" spans="5:8" ht="11.1" customHeight="1">
      <c r="E238" s="175"/>
      <c r="F238" s="175"/>
      <c r="G238" s="156"/>
      <c r="H238" s="156"/>
    </row>
    <row r="239" spans="5:8" ht="11.1" customHeight="1">
      <c r="E239" s="175"/>
      <c r="F239" s="175"/>
      <c r="G239" s="156"/>
      <c r="H239" s="156"/>
    </row>
    <row r="240" spans="5:8" ht="11.1" customHeight="1">
      <c r="E240" s="175"/>
      <c r="F240" s="175"/>
      <c r="G240" s="156"/>
      <c r="H240" s="156"/>
    </row>
    <row r="241" spans="5:8" ht="11.1" customHeight="1">
      <c r="E241" s="175"/>
      <c r="F241" s="175"/>
      <c r="G241" s="156"/>
      <c r="H241" s="156"/>
    </row>
    <row r="242" spans="5:8" ht="11.1" customHeight="1">
      <c r="E242" s="175"/>
      <c r="F242" s="175"/>
      <c r="G242" s="156"/>
      <c r="H242" s="156"/>
    </row>
    <row r="243" spans="5:8" ht="11.1" customHeight="1">
      <c r="E243" s="175"/>
      <c r="F243" s="175"/>
      <c r="G243" s="156"/>
      <c r="H243" s="156"/>
    </row>
    <row r="244" spans="5:8" ht="11.1" customHeight="1">
      <c r="E244" s="175"/>
      <c r="F244" s="175"/>
      <c r="G244" s="156"/>
      <c r="H244" s="156"/>
    </row>
    <row r="245" spans="5:8" ht="11.1" customHeight="1">
      <c r="E245" s="175"/>
      <c r="F245" s="175"/>
      <c r="G245" s="156"/>
      <c r="H245" s="156"/>
    </row>
    <row r="246" spans="5:8" ht="11.1" customHeight="1">
      <c r="E246" s="175"/>
      <c r="F246" s="175"/>
      <c r="G246" s="156"/>
      <c r="H246" s="156"/>
    </row>
    <row r="247" spans="5:8" ht="11.1" customHeight="1">
      <c r="E247" s="175"/>
      <c r="F247" s="175"/>
      <c r="G247" s="156"/>
      <c r="H247" s="156"/>
    </row>
    <row r="248" spans="5:8" ht="11.1" customHeight="1">
      <c r="E248" s="175"/>
      <c r="F248" s="175"/>
      <c r="G248" s="156"/>
      <c r="H248" s="156"/>
    </row>
    <row r="249" spans="5:8" ht="11.1" customHeight="1">
      <c r="E249" s="175"/>
      <c r="F249" s="175"/>
      <c r="G249" s="156"/>
      <c r="H249" s="156"/>
    </row>
    <row r="250" spans="5:8" ht="11.1" customHeight="1">
      <c r="E250" s="175"/>
      <c r="F250" s="175"/>
      <c r="G250" s="156"/>
      <c r="H250" s="156"/>
    </row>
    <row r="251" spans="5:8" ht="11.1" customHeight="1">
      <c r="E251" s="175"/>
      <c r="F251" s="175"/>
      <c r="G251" s="156"/>
      <c r="H251" s="156"/>
    </row>
    <row r="252" spans="5:8" ht="11.1" customHeight="1">
      <c r="E252" s="175"/>
      <c r="F252" s="175"/>
      <c r="G252" s="156"/>
      <c r="H252" s="156"/>
    </row>
    <row r="253" spans="5:8" ht="11.1" customHeight="1">
      <c r="E253" s="175"/>
      <c r="F253" s="175"/>
      <c r="G253" s="156"/>
      <c r="H253" s="156"/>
    </row>
    <row r="254" spans="5:8" ht="11.1" customHeight="1">
      <c r="E254" s="175"/>
      <c r="F254" s="175"/>
      <c r="G254" s="156"/>
      <c r="H254" s="156"/>
    </row>
    <row r="255" spans="5:8" ht="11.1" customHeight="1">
      <c r="E255" s="175"/>
      <c r="F255" s="175"/>
      <c r="G255" s="156"/>
      <c r="H255" s="156"/>
    </row>
    <row r="256" spans="5:8" ht="11.1" customHeight="1">
      <c r="E256" s="175"/>
      <c r="F256" s="175"/>
      <c r="G256" s="156"/>
      <c r="H256" s="156"/>
    </row>
    <row r="257" spans="5:8" ht="11.1" customHeight="1">
      <c r="E257" s="175"/>
      <c r="F257" s="175"/>
      <c r="G257" s="156"/>
      <c r="H257" s="156"/>
    </row>
    <row r="258" spans="5:8" ht="11.1" customHeight="1">
      <c r="E258" s="175"/>
      <c r="F258" s="175"/>
      <c r="G258" s="156"/>
      <c r="H258" s="156"/>
    </row>
    <row r="259" spans="5:8" ht="11.1" customHeight="1">
      <c r="E259" s="175"/>
      <c r="F259" s="175"/>
      <c r="G259" s="156"/>
      <c r="H259" s="156"/>
    </row>
    <row r="260" spans="5:8" ht="11.1" customHeight="1">
      <c r="E260" s="175"/>
      <c r="F260" s="175"/>
      <c r="G260" s="156"/>
      <c r="H260" s="156"/>
    </row>
    <row r="261" spans="5:8" ht="11.1" customHeight="1">
      <c r="E261" s="175"/>
      <c r="F261" s="175"/>
      <c r="G261" s="156"/>
      <c r="H261" s="156"/>
    </row>
    <row r="262" spans="5:8" ht="11.1" customHeight="1">
      <c r="E262" s="175"/>
      <c r="F262" s="175"/>
      <c r="G262" s="156"/>
      <c r="H262" s="156"/>
    </row>
    <row r="263" spans="5:8" ht="11.1" customHeight="1">
      <c r="E263" s="175"/>
      <c r="F263" s="175"/>
      <c r="G263" s="156"/>
      <c r="H263" s="156"/>
    </row>
    <row r="264" spans="5:8" ht="11.1" customHeight="1">
      <c r="E264" s="175"/>
      <c r="F264" s="175"/>
      <c r="G264" s="156"/>
      <c r="H264" s="156"/>
    </row>
    <row r="265" spans="5:8" ht="11.1" customHeight="1">
      <c r="E265" s="175"/>
      <c r="F265" s="175"/>
      <c r="G265" s="156"/>
      <c r="H265" s="156"/>
    </row>
    <row r="266" spans="5:8" ht="11.1" customHeight="1">
      <c r="E266" s="175"/>
      <c r="F266" s="175"/>
      <c r="G266" s="156"/>
      <c r="H266" s="156"/>
    </row>
    <row r="267" spans="5:8" ht="11.1" customHeight="1">
      <c r="E267" s="175"/>
      <c r="F267" s="175"/>
      <c r="G267" s="156"/>
      <c r="H267" s="156"/>
    </row>
    <row r="268" spans="5:8" ht="11.1" customHeight="1">
      <c r="E268" s="175"/>
      <c r="F268" s="175"/>
      <c r="G268" s="156"/>
      <c r="H268" s="156"/>
    </row>
    <row r="269" spans="5:8" ht="11.1" customHeight="1">
      <c r="E269" s="175"/>
      <c r="F269" s="175"/>
      <c r="G269" s="156"/>
      <c r="H269" s="156"/>
    </row>
    <row r="270" spans="5:8" ht="11.1" customHeight="1">
      <c r="E270" s="175"/>
      <c r="F270" s="175"/>
      <c r="G270" s="156"/>
      <c r="H270" s="156"/>
    </row>
    <row r="271" spans="5:8" ht="11.1" customHeight="1">
      <c r="E271" s="175"/>
      <c r="F271" s="175"/>
      <c r="G271" s="156"/>
      <c r="H271" s="156"/>
    </row>
    <row r="272" spans="5:8" ht="11.1" customHeight="1">
      <c r="E272" s="175"/>
      <c r="F272" s="175"/>
      <c r="G272" s="156"/>
      <c r="H272" s="156"/>
    </row>
    <row r="273" spans="5:8" ht="11.1" customHeight="1">
      <c r="E273" s="175"/>
      <c r="F273" s="175"/>
      <c r="G273" s="156"/>
      <c r="H273" s="156"/>
    </row>
    <row r="274" spans="5:8" ht="11.1" customHeight="1">
      <c r="E274" s="175"/>
      <c r="F274" s="175"/>
      <c r="G274" s="156"/>
      <c r="H274" s="156"/>
    </row>
    <row r="275" spans="5:8" ht="11.1" customHeight="1">
      <c r="E275" s="175"/>
      <c r="F275" s="175"/>
      <c r="G275" s="156"/>
      <c r="H275" s="156"/>
    </row>
    <row r="276" spans="5:8" ht="11.1" customHeight="1">
      <c r="E276" s="175"/>
      <c r="F276" s="175"/>
      <c r="G276" s="156"/>
      <c r="H276" s="156"/>
    </row>
    <row r="277" spans="5:8" ht="11.1" customHeight="1">
      <c r="E277" s="175"/>
      <c r="F277" s="175"/>
      <c r="G277" s="156"/>
      <c r="H277" s="156"/>
    </row>
    <row r="278" spans="5:8" ht="11.1" customHeight="1">
      <c r="E278" s="175"/>
      <c r="F278" s="175"/>
      <c r="G278" s="156"/>
      <c r="H278" s="156"/>
    </row>
    <row r="279" spans="5:8" ht="11.1" customHeight="1">
      <c r="E279" s="175"/>
      <c r="F279" s="175"/>
      <c r="G279" s="156"/>
      <c r="H279" s="156"/>
    </row>
    <row r="280" spans="5:8" ht="11.1" customHeight="1">
      <c r="E280" s="175"/>
      <c r="F280" s="175"/>
      <c r="G280" s="156"/>
      <c r="H280" s="156"/>
    </row>
    <row r="281" spans="5:8" ht="11.1" customHeight="1">
      <c r="E281" s="175"/>
      <c r="F281" s="175"/>
      <c r="G281" s="156"/>
      <c r="H281" s="156"/>
    </row>
    <row r="282" spans="5:8" ht="11.1" customHeight="1">
      <c r="E282" s="175"/>
      <c r="F282" s="175"/>
      <c r="G282" s="156"/>
      <c r="H282" s="156"/>
    </row>
    <row r="283" spans="5:8" ht="11.1" customHeight="1">
      <c r="E283" s="175"/>
      <c r="F283" s="175"/>
      <c r="G283" s="156"/>
      <c r="H283" s="156"/>
    </row>
    <row r="284" spans="5:8" ht="11.1" customHeight="1">
      <c r="E284" s="175"/>
      <c r="F284" s="175"/>
      <c r="G284" s="156"/>
      <c r="H284" s="156"/>
    </row>
    <row r="285" spans="5:8" ht="11.1" customHeight="1">
      <c r="E285" s="175"/>
      <c r="F285" s="175"/>
      <c r="G285" s="156"/>
      <c r="H285" s="156"/>
    </row>
    <row r="286" spans="5:8" ht="11.1" customHeight="1">
      <c r="E286" s="175"/>
      <c r="F286" s="175"/>
      <c r="G286" s="156"/>
      <c r="H286" s="156"/>
    </row>
    <row r="287" spans="5:8" ht="11.1" customHeight="1">
      <c r="E287" s="175"/>
      <c r="F287" s="175"/>
      <c r="G287" s="156"/>
      <c r="H287" s="156"/>
    </row>
    <row r="288" spans="5:8" ht="11.1" customHeight="1">
      <c r="E288" s="175"/>
      <c r="F288" s="175"/>
      <c r="G288" s="156"/>
      <c r="H288" s="156"/>
    </row>
    <row r="289" spans="5:8" ht="11.1" customHeight="1">
      <c r="E289" s="175"/>
      <c r="F289" s="175"/>
      <c r="G289" s="156"/>
      <c r="H289" s="156"/>
    </row>
    <row r="290" spans="5:8" ht="11.1" customHeight="1">
      <c r="E290" s="175"/>
      <c r="F290" s="175"/>
      <c r="G290" s="156"/>
      <c r="H290" s="156"/>
    </row>
    <row r="291" spans="5:8" ht="11.1" customHeight="1">
      <c r="E291" s="175"/>
      <c r="F291" s="175"/>
      <c r="G291" s="156"/>
      <c r="H291" s="156"/>
    </row>
    <row r="292" spans="5:8" ht="11.1" customHeight="1">
      <c r="E292" s="175"/>
      <c r="F292" s="175"/>
      <c r="G292" s="156"/>
      <c r="H292" s="156"/>
    </row>
    <row r="293" spans="5:8" ht="11.1" customHeight="1">
      <c r="E293" s="175"/>
      <c r="F293" s="175"/>
      <c r="G293" s="156"/>
      <c r="H293" s="156"/>
    </row>
    <row r="294" spans="5:8" ht="11.1" customHeight="1">
      <c r="E294" s="175"/>
      <c r="F294" s="175"/>
      <c r="G294" s="156"/>
      <c r="H294" s="156"/>
    </row>
    <row r="295" spans="5:8" ht="11.1" customHeight="1">
      <c r="E295" s="175"/>
      <c r="F295" s="175"/>
      <c r="G295" s="156"/>
      <c r="H295" s="156"/>
    </row>
    <row r="296" spans="5:8" ht="11.1" customHeight="1">
      <c r="E296" s="175"/>
      <c r="F296" s="175"/>
      <c r="G296" s="156"/>
      <c r="H296" s="156"/>
    </row>
    <row r="297" spans="5:8" ht="11.1" customHeight="1">
      <c r="E297" s="175"/>
      <c r="F297" s="175"/>
      <c r="G297" s="156"/>
      <c r="H297" s="156"/>
    </row>
    <row r="298" spans="5:8" ht="11.1" customHeight="1">
      <c r="E298" s="175"/>
      <c r="F298" s="175"/>
      <c r="G298" s="156"/>
      <c r="H298" s="156"/>
    </row>
    <row r="299" spans="5:8" ht="11.1" customHeight="1">
      <c r="E299" s="175"/>
      <c r="F299" s="175"/>
      <c r="G299" s="156"/>
      <c r="H299" s="156"/>
    </row>
    <row r="300" spans="5:8" ht="11.1" customHeight="1">
      <c r="E300" s="175"/>
      <c r="F300" s="175"/>
      <c r="G300" s="156"/>
      <c r="H300" s="156"/>
    </row>
    <row r="301" spans="5:8" ht="11.1" customHeight="1">
      <c r="E301" s="175"/>
      <c r="F301" s="175"/>
      <c r="G301" s="156"/>
      <c r="H301" s="156"/>
    </row>
    <row r="302" spans="5:8" ht="11.1" customHeight="1">
      <c r="E302" s="175"/>
      <c r="F302" s="175"/>
      <c r="G302" s="156"/>
      <c r="H302" s="156"/>
    </row>
    <row r="303" spans="5:8" ht="11.1" customHeight="1">
      <c r="E303" s="175"/>
      <c r="F303" s="175"/>
      <c r="G303" s="156"/>
      <c r="H303" s="156"/>
    </row>
    <row r="304" spans="5:8" ht="11.1" customHeight="1">
      <c r="E304" s="175"/>
      <c r="F304" s="175"/>
      <c r="G304" s="156"/>
      <c r="H304" s="156"/>
    </row>
    <row r="305" spans="5:8" ht="11.1" customHeight="1">
      <c r="E305" s="175"/>
      <c r="F305" s="175"/>
      <c r="G305" s="156"/>
      <c r="H305" s="156"/>
    </row>
    <row r="306" spans="5:8" ht="11.1" customHeight="1">
      <c r="E306" s="175"/>
      <c r="F306" s="175"/>
      <c r="G306" s="156"/>
      <c r="H306" s="156"/>
    </row>
    <row r="307" spans="5:8" ht="11.1" customHeight="1">
      <c r="E307" s="175"/>
      <c r="F307" s="175"/>
      <c r="G307" s="156"/>
      <c r="H307" s="156"/>
    </row>
    <row r="308" spans="5:8" ht="11.1" customHeight="1">
      <c r="E308" s="175"/>
      <c r="F308" s="175"/>
      <c r="G308" s="156"/>
      <c r="H308" s="156"/>
    </row>
    <row r="309" spans="5:8" ht="11.1" customHeight="1">
      <c r="E309" s="175"/>
      <c r="F309" s="175"/>
      <c r="G309" s="156"/>
      <c r="H309" s="156"/>
    </row>
    <row r="310" spans="5:8" ht="11.1" customHeight="1">
      <c r="E310" s="175"/>
      <c r="F310" s="175"/>
      <c r="G310" s="156"/>
      <c r="H310" s="156"/>
    </row>
    <row r="311" spans="5:8" ht="11.1" customHeight="1">
      <c r="E311" s="175"/>
      <c r="F311" s="175"/>
      <c r="G311" s="156"/>
      <c r="H311" s="156"/>
    </row>
    <row r="312" spans="5:8" ht="11.1" customHeight="1">
      <c r="E312" s="175"/>
      <c r="F312" s="175"/>
      <c r="G312" s="156"/>
      <c r="H312" s="156"/>
    </row>
    <row r="313" spans="5:8" ht="11.1" customHeight="1">
      <c r="E313" s="175"/>
      <c r="F313" s="175"/>
      <c r="G313" s="156"/>
      <c r="H313" s="156"/>
    </row>
    <row r="314" spans="5:8" ht="11.1" customHeight="1">
      <c r="E314" s="175"/>
      <c r="F314" s="175"/>
      <c r="G314" s="156"/>
      <c r="H314" s="156"/>
    </row>
    <row r="315" spans="5:8" ht="11.1" customHeight="1">
      <c r="E315" s="175"/>
      <c r="F315" s="175"/>
      <c r="G315" s="156"/>
      <c r="H315" s="156"/>
    </row>
    <row r="316" spans="5:8" ht="11.1" customHeight="1">
      <c r="E316" s="175"/>
      <c r="F316" s="175"/>
      <c r="G316" s="156"/>
      <c r="H316" s="156"/>
    </row>
    <row r="317" spans="5:8" ht="11.1" customHeight="1">
      <c r="E317" s="175"/>
      <c r="F317" s="175"/>
      <c r="G317" s="156"/>
      <c r="H317" s="156"/>
    </row>
    <row r="318" spans="5:8" ht="11.1" customHeight="1">
      <c r="E318" s="175"/>
      <c r="F318" s="175"/>
      <c r="G318" s="156"/>
      <c r="H318" s="156"/>
    </row>
    <row r="319" spans="5:8" ht="11.1" customHeight="1">
      <c r="E319" s="175"/>
      <c r="F319" s="175"/>
      <c r="G319" s="156"/>
      <c r="H319" s="156"/>
    </row>
    <row r="320" spans="5:8" ht="11.1" customHeight="1">
      <c r="E320" s="175"/>
      <c r="F320" s="175"/>
      <c r="G320" s="156"/>
      <c r="H320" s="156"/>
    </row>
    <row r="321" spans="5:8" ht="11.1" customHeight="1">
      <c r="E321" s="175"/>
      <c r="F321" s="175"/>
      <c r="G321" s="156"/>
      <c r="H321" s="156"/>
    </row>
    <row r="322" spans="5:8" ht="11.1" customHeight="1">
      <c r="E322" s="175"/>
      <c r="F322" s="175"/>
      <c r="G322" s="156"/>
      <c r="H322" s="156"/>
    </row>
    <row r="323" spans="5:8" ht="11.1" customHeight="1">
      <c r="E323" s="175"/>
      <c r="F323" s="175"/>
      <c r="G323" s="156"/>
      <c r="H323" s="156"/>
    </row>
    <row r="324" spans="5:8" ht="11.1" customHeight="1">
      <c r="E324" s="175"/>
      <c r="F324" s="175"/>
      <c r="G324" s="156"/>
      <c r="H324" s="156"/>
    </row>
    <row r="325" spans="5:8" ht="11.1" customHeight="1">
      <c r="E325" s="175"/>
      <c r="F325" s="175"/>
      <c r="G325" s="156"/>
      <c r="H325" s="156"/>
    </row>
    <row r="326" spans="5:8" ht="11.1" customHeight="1">
      <c r="E326" s="175"/>
      <c r="F326" s="175"/>
      <c r="G326" s="156"/>
      <c r="H326" s="156"/>
    </row>
    <row r="327" spans="5:8" ht="11.1" customHeight="1">
      <c r="E327" s="175"/>
      <c r="F327" s="175"/>
      <c r="G327" s="156"/>
      <c r="H327" s="156"/>
    </row>
    <row r="328" spans="5:8" ht="11.1" customHeight="1">
      <c r="E328" s="175"/>
      <c r="F328" s="175"/>
      <c r="G328" s="156"/>
      <c r="H328" s="156"/>
    </row>
    <row r="329" spans="5:8" ht="11.1" customHeight="1">
      <c r="E329" s="175"/>
      <c r="F329" s="175"/>
      <c r="G329" s="156"/>
      <c r="H329" s="156"/>
    </row>
    <row r="330" spans="5:8" ht="11.1" customHeight="1">
      <c r="E330" s="175"/>
      <c r="F330" s="175"/>
      <c r="G330" s="156"/>
      <c r="H330" s="156"/>
    </row>
    <row r="331" spans="5:8" ht="11.1" customHeight="1">
      <c r="E331" s="175"/>
      <c r="F331" s="175"/>
      <c r="G331" s="156"/>
      <c r="H331" s="156"/>
    </row>
    <row r="332" spans="5:8" ht="11.1" customHeight="1">
      <c r="E332" s="175"/>
      <c r="F332" s="175"/>
      <c r="G332" s="156"/>
      <c r="H332" s="156"/>
    </row>
    <row r="333" spans="5:8" ht="11.1" customHeight="1">
      <c r="E333" s="175"/>
      <c r="F333" s="175"/>
      <c r="G333" s="156"/>
      <c r="H333" s="156"/>
    </row>
    <row r="334" spans="5:8" ht="11.1" customHeight="1">
      <c r="E334" s="175"/>
      <c r="F334" s="175"/>
      <c r="G334" s="156"/>
      <c r="H334" s="156"/>
    </row>
    <row r="335" spans="5:8" ht="11.1" customHeight="1">
      <c r="E335" s="175"/>
      <c r="F335" s="175"/>
      <c r="G335" s="156"/>
      <c r="H335" s="156"/>
    </row>
    <row r="336" spans="5:8" ht="11.1" customHeight="1">
      <c r="E336" s="175"/>
      <c r="F336" s="175"/>
      <c r="G336" s="156"/>
      <c r="H336" s="156"/>
    </row>
    <row r="337" spans="5:8" ht="11.1" customHeight="1">
      <c r="E337" s="175"/>
      <c r="F337" s="175"/>
      <c r="G337" s="156"/>
      <c r="H337" s="156"/>
    </row>
    <row r="338" spans="5:8" ht="11.1" customHeight="1">
      <c r="E338" s="175"/>
      <c r="F338" s="175"/>
      <c r="G338" s="156"/>
      <c r="H338" s="156"/>
    </row>
    <row r="339" spans="5:8" ht="11.1" customHeight="1">
      <c r="E339" s="175"/>
      <c r="F339" s="175"/>
      <c r="G339" s="156"/>
      <c r="H339" s="156"/>
    </row>
    <row r="340" spans="5:8" ht="11.1" customHeight="1">
      <c r="E340" s="175"/>
      <c r="F340" s="175"/>
      <c r="G340" s="156"/>
      <c r="H340" s="156"/>
    </row>
    <row r="341" spans="5:8" ht="11.1" customHeight="1">
      <c r="E341" s="175"/>
      <c r="F341" s="175"/>
      <c r="G341" s="156"/>
      <c r="H341" s="156"/>
    </row>
    <row r="342" spans="5:8" ht="11.1" customHeight="1">
      <c r="E342" s="175"/>
      <c r="F342" s="175"/>
      <c r="G342" s="156"/>
      <c r="H342" s="156"/>
    </row>
    <row r="343" spans="5:8" ht="11.1" customHeight="1">
      <c r="E343" s="175"/>
      <c r="F343" s="175"/>
      <c r="G343" s="156"/>
      <c r="H343" s="156"/>
    </row>
    <row r="344" spans="5:8" ht="11.1" customHeight="1">
      <c r="E344" s="175"/>
      <c r="F344" s="175"/>
      <c r="G344" s="156"/>
      <c r="H344" s="156"/>
    </row>
    <row r="345" spans="5:8" ht="11.1" customHeight="1">
      <c r="E345" s="175"/>
      <c r="F345" s="175"/>
      <c r="G345" s="156"/>
      <c r="H345" s="156"/>
    </row>
    <row r="346" spans="5:8" ht="11.1" customHeight="1">
      <c r="E346" s="175"/>
      <c r="F346" s="175"/>
      <c r="G346" s="156"/>
      <c r="H346" s="156"/>
    </row>
    <row r="347" spans="5:8" ht="11.1" customHeight="1">
      <c r="E347" s="175"/>
      <c r="F347" s="175"/>
      <c r="G347" s="156"/>
      <c r="H347" s="156"/>
    </row>
    <row r="348" spans="5:8" ht="11.1" customHeight="1">
      <c r="E348" s="175"/>
      <c r="F348" s="175"/>
      <c r="G348" s="156"/>
      <c r="H348" s="156"/>
    </row>
    <row r="349" spans="5:8" ht="11.1" customHeight="1">
      <c r="E349" s="175"/>
      <c r="F349" s="175"/>
      <c r="G349" s="156"/>
      <c r="H349" s="156"/>
    </row>
    <row r="350" spans="5:8" ht="11.1" customHeight="1">
      <c r="E350" s="175"/>
      <c r="F350" s="175"/>
      <c r="G350" s="156"/>
      <c r="H350" s="156"/>
    </row>
    <row r="351" spans="5:8" ht="11.1" customHeight="1">
      <c r="E351" s="175"/>
      <c r="F351" s="175"/>
      <c r="G351" s="156"/>
      <c r="H351" s="156"/>
    </row>
    <row r="352" spans="5:8" ht="11.1" customHeight="1">
      <c r="E352" s="175"/>
      <c r="F352" s="175"/>
      <c r="G352" s="156"/>
      <c r="H352" s="156"/>
    </row>
    <row r="353" spans="5:8" ht="11.1" customHeight="1">
      <c r="E353" s="175"/>
      <c r="F353" s="175"/>
      <c r="G353" s="156"/>
      <c r="H353" s="156"/>
    </row>
    <row r="354" spans="5:8" ht="11.1" customHeight="1">
      <c r="E354" s="175"/>
      <c r="F354" s="175"/>
      <c r="G354" s="156"/>
      <c r="H354" s="156"/>
    </row>
    <row r="355" spans="5:8" ht="11.1" customHeight="1">
      <c r="E355" s="175"/>
      <c r="F355" s="175"/>
      <c r="G355" s="156"/>
      <c r="H355" s="156"/>
    </row>
    <row r="356" spans="5:8" ht="11.1" customHeight="1">
      <c r="E356" s="175"/>
      <c r="F356" s="175"/>
      <c r="G356" s="156"/>
      <c r="H356" s="156"/>
    </row>
    <row r="357" spans="5:8" ht="11.1" customHeight="1">
      <c r="E357" s="175"/>
      <c r="F357" s="175"/>
      <c r="G357" s="156"/>
      <c r="H357" s="156"/>
    </row>
    <row r="358" spans="5:8" ht="11.1" customHeight="1">
      <c r="E358" s="175"/>
      <c r="F358" s="175"/>
      <c r="G358" s="156"/>
      <c r="H358" s="156"/>
    </row>
    <row r="359" spans="5:8" ht="11.1" customHeight="1">
      <c r="E359" s="175"/>
      <c r="F359" s="175"/>
      <c r="G359" s="156"/>
      <c r="H359" s="156"/>
    </row>
    <row r="360" spans="5:8" ht="11.1" customHeight="1">
      <c r="E360" s="175"/>
      <c r="F360" s="175"/>
      <c r="G360" s="156"/>
      <c r="H360" s="156"/>
    </row>
    <row r="361" spans="5:8" ht="11.1" customHeight="1">
      <c r="E361" s="175"/>
      <c r="F361" s="175"/>
      <c r="G361" s="156"/>
      <c r="H361" s="156"/>
    </row>
    <row r="362" spans="5:8" ht="11.1" customHeight="1">
      <c r="E362" s="175"/>
      <c r="F362" s="175"/>
      <c r="G362" s="156"/>
      <c r="H362" s="156"/>
    </row>
    <row r="363" spans="5:8" ht="11.1" customHeight="1">
      <c r="E363" s="175"/>
      <c r="F363" s="175"/>
      <c r="G363" s="156"/>
      <c r="H363" s="156"/>
    </row>
    <row r="364" spans="5:8" ht="11.1" customHeight="1">
      <c r="E364" s="175"/>
      <c r="F364" s="175"/>
      <c r="G364" s="156"/>
      <c r="H364" s="156"/>
    </row>
    <row r="365" spans="5:8" ht="11.1" customHeight="1">
      <c r="E365" s="175"/>
      <c r="F365" s="175"/>
      <c r="G365" s="156"/>
      <c r="H365" s="156"/>
    </row>
    <row r="366" spans="5:8" ht="11.1" customHeight="1">
      <c r="E366" s="175"/>
      <c r="F366" s="175"/>
      <c r="G366" s="156"/>
      <c r="H366" s="156"/>
    </row>
    <row r="367" spans="5:8" ht="11.1" customHeight="1">
      <c r="E367" s="175"/>
      <c r="F367" s="175"/>
      <c r="G367" s="156"/>
      <c r="H367" s="156"/>
    </row>
    <row r="368" spans="5:8" ht="11.1" customHeight="1">
      <c r="E368" s="175"/>
      <c r="F368" s="175"/>
      <c r="G368" s="156"/>
      <c r="H368" s="156"/>
    </row>
    <row r="369" spans="5:8" ht="11.1" customHeight="1">
      <c r="E369" s="175"/>
      <c r="F369" s="175"/>
      <c r="G369" s="156"/>
      <c r="H369" s="156"/>
    </row>
    <row r="370" spans="5:8" ht="11.1" customHeight="1">
      <c r="E370" s="175"/>
      <c r="F370" s="175"/>
      <c r="G370" s="156"/>
      <c r="H370" s="156"/>
    </row>
    <row r="371" spans="5:8" ht="11.1" customHeight="1">
      <c r="E371" s="175"/>
      <c r="F371" s="175"/>
      <c r="G371" s="156"/>
      <c r="H371" s="156"/>
    </row>
    <row r="372" spans="5:8" ht="11.1" customHeight="1">
      <c r="E372" s="175"/>
      <c r="F372" s="175"/>
      <c r="G372" s="156"/>
      <c r="H372" s="156"/>
    </row>
    <row r="373" spans="5:8" ht="11.1" customHeight="1">
      <c r="E373" s="175"/>
      <c r="F373" s="175"/>
      <c r="G373" s="156"/>
      <c r="H373" s="156"/>
    </row>
    <row r="374" spans="5:8" ht="11.1" customHeight="1">
      <c r="E374" s="175"/>
      <c r="F374" s="175"/>
      <c r="G374" s="156"/>
      <c r="H374" s="156"/>
    </row>
    <row r="375" spans="5:8" ht="11.1" customHeight="1">
      <c r="E375" s="175"/>
      <c r="F375" s="175"/>
      <c r="G375" s="156"/>
      <c r="H375" s="156"/>
    </row>
    <row r="376" spans="5:8" ht="11.1" customHeight="1">
      <c r="E376" s="175"/>
      <c r="F376" s="175"/>
      <c r="G376" s="156"/>
      <c r="H376" s="156"/>
    </row>
    <row r="377" spans="5:8" ht="11.1" customHeight="1">
      <c r="E377" s="175"/>
      <c r="F377" s="175"/>
      <c r="G377" s="156"/>
      <c r="H377" s="156"/>
    </row>
    <row r="378" spans="5:8" ht="11.1" customHeight="1">
      <c r="E378" s="175"/>
      <c r="F378" s="175"/>
      <c r="G378" s="156"/>
      <c r="H378" s="156"/>
    </row>
    <row r="379" spans="5:8" ht="11.1" customHeight="1">
      <c r="E379" s="175"/>
      <c r="F379" s="175"/>
      <c r="G379" s="156"/>
      <c r="H379" s="156"/>
    </row>
    <row r="380" spans="5:8" ht="11.1" customHeight="1">
      <c r="E380" s="175"/>
      <c r="F380" s="175"/>
      <c r="G380" s="156"/>
      <c r="H380" s="156"/>
    </row>
    <row r="381" spans="5:8" ht="11.1" customHeight="1">
      <c r="E381" s="175"/>
      <c r="F381" s="175"/>
      <c r="G381" s="156"/>
      <c r="H381" s="156"/>
    </row>
    <row r="382" spans="5:8" ht="11.1" customHeight="1">
      <c r="E382" s="175"/>
      <c r="F382" s="175"/>
      <c r="G382" s="156"/>
      <c r="H382" s="156"/>
    </row>
    <row r="383" spans="5:8" ht="11.1" customHeight="1">
      <c r="E383" s="175"/>
      <c r="F383" s="175"/>
      <c r="G383" s="156"/>
      <c r="H383" s="156"/>
    </row>
    <row r="384" spans="5:8" ht="11.1" customHeight="1">
      <c r="E384" s="175"/>
      <c r="F384" s="175"/>
      <c r="G384" s="156"/>
      <c r="H384" s="156"/>
    </row>
    <row r="385" spans="5:8" ht="11.1" customHeight="1">
      <c r="E385" s="175"/>
      <c r="F385" s="175"/>
      <c r="G385" s="156"/>
      <c r="H385" s="156"/>
    </row>
    <row r="386" spans="5:8" ht="11.1" customHeight="1">
      <c r="E386" s="175"/>
      <c r="F386" s="175"/>
      <c r="G386" s="156"/>
      <c r="H386" s="156"/>
    </row>
    <row r="387" spans="5:8" ht="11.1" customHeight="1">
      <c r="E387" s="175"/>
      <c r="F387" s="175"/>
      <c r="G387" s="156"/>
      <c r="H387" s="156"/>
    </row>
    <row r="388" spans="5:8" ht="11.1" customHeight="1">
      <c r="E388" s="175"/>
      <c r="F388" s="175"/>
      <c r="G388" s="156"/>
      <c r="H388" s="156"/>
    </row>
    <row r="389" spans="5:8" ht="11.1" customHeight="1">
      <c r="E389" s="175"/>
      <c r="F389" s="175"/>
      <c r="G389" s="156"/>
      <c r="H389" s="156"/>
    </row>
    <row r="390" spans="5:8" ht="11.1" customHeight="1">
      <c r="E390" s="175"/>
      <c r="F390" s="175"/>
      <c r="G390" s="156"/>
      <c r="H390" s="156"/>
    </row>
    <row r="391" spans="5:8" ht="11.1" customHeight="1">
      <c r="E391" s="175"/>
      <c r="F391" s="175"/>
      <c r="G391" s="156"/>
      <c r="H391" s="156"/>
    </row>
    <row r="392" spans="5:8" ht="11.1" customHeight="1">
      <c r="E392" s="175"/>
      <c r="F392" s="175"/>
      <c r="G392" s="156"/>
      <c r="H392" s="156"/>
    </row>
    <row r="393" spans="5:8" ht="11.1" customHeight="1">
      <c r="E393" s="175"/>
      <c r="F393" s="175"/>
      <c r="G393" s="156"/>
      <c r="H393" s="156"/>
    </row>
    <row r="394" spans="5:8" ht="11.1" customHeight="1">
      <c r="E394" s="175"/>
      <c r="F394" s="175"/>
      <c r="G394" s="156"/>
      <c r="H394" s="156"/>
    </row>
    <row r="395" spans="5:8" ht="11.1" customHeight="1">
      <c r="E395" s="175"/>
      <c r="F395" s="175"/>
      <c r="G395" s="156"/>
      <c r="H395" s="156"/>
    </row>
    <row r="396" spans="5:8" ht="11.1" customHeight="1">
      <c r="E396" s="175"/>
      <c r="F396" s="175"/>
      <c r="G396" s="156"/>
      <c r="H396" s="156"/>
    </row>
    <row r="397" spans="5:8" ht="11.1" customHeight="1">
      <c r="E397" s="175"/>
      <c r="F397" s="175"/>
      <c r="G397" s="156"/>
      <c r="H397" s="156"/>
    </row>
    <row r="398" spans="5:8" ht="11.1" customHeight="1">
      <c r="E398" s="175"/>
      <c r="F398" s="175"/>
      <c r="G398" s="156"/>
      <c r="H398" s="156"/>
    </row>
    <row r="399" spans="5:8" ht="11.1" customHeight="1">
      <c r="E399" s="175"/>
      <c r="F399" s="175"/>
      <c r="G399" s="156"/>
      <c r="H399" s="156"/>
    </row>
    <row r="400" spans="5:8" ht="11.1" customHeight="1">
      <c r="E400" s="175"/>
      <c r="F400" s="175"/>
      <c r="G400" s="156"/>
      <c r="H400" s="156"/>
    </row>
    <row r="401" spans="5:8" ht="11.1" customHeight="1">
      <c r="E401" s="175"/>
      <c r="F401" s="175"/>
      <c r="G401" s="156"/>
      <c r="H401" s="156"/>
    </row>
    <row r="402" spans="5:8" ht="11.1" customHeight="1">
      <c r="E402" s="175"/>
      <c r="F402" s="175"/>
      <c r="G402" s="156"/>
      <c r="H402" s="156"/>
    </row>
    <row r="403" spans="5:8" ht="11.1" customHeight="1">
      <c r="E403" s="175"/>
      <c r="F403" s="175"/>
      <c r="G403" s="156"/>
      <c r="H403" s="156"/>
    </row>
    <row r="404" spans="5:8" ht="11.1" customHeight="1">
      <c r="E404" s="175"/>
      <c r="F404" s="175"/>
      <c r="G404" s="156"/>
      <c r="H404" s="156"/>
    </row>
    <row r="405" spans="5:8" ht="11.1" customHeight="1">
      <c r="E405" s="175"/>
      <c r="F405" s="175"/>
      <c r="G405" s="156"/>
      <c r="H405" s="156"/>
    </row>
    <row r="406" spans="5:8" ht="11.1" customHeight="1">
      <c r="E406" s="175"/>
      <c r="F406" s="175"/>
      <c r="G406" s="156"/>
      <c r="H406" s="156"/>
    </row>
    <row r="407" spans="5:8" ht="11.1" customHeight="1">
      <c r="E407" s="175"/>
      <c r="F407" s="175"/>
      <c r="G407" s="156"/>
      <c r="H407" s="156"/>
    </row>
    <row r="408" spans="5:8" ht="11.1" customHeight="1">
      <c r="E408" s="175"/>
      <c r="F408" s="175"/>
      <c r="G408" s="156"/>
      <c r="H408" s="156"/>
    </row>
    <row r="409" spans="5:8" ht="11.1" customHeight="1">
      <c r="E409" s="175"/>
      <c r="F409" s="175"/>
      <c r="G409" s="156"/>
      <c r="H409" s="156"/>
    </row>
    <row r="410" spans="5:8" ht="11.1" customHeight="1">
      <c r="E410" s="175"/>
      <c r="F410" s="175"/>
      <c r="G410" s="156"/>
      <c r="H410" s="156"/>
    </row>
    <row r="411" spans="5:8" ht="11.1" customHeight="1">
      <c r="E411" s="175"/>
      <c r="F411" s="175"/>
      <c r="G411" s="156"/>
      <c r="H411" s="156"/>
    </row>
    <row r="412" spans="5:8" ht="11.1" customHeight="1">
      <c r="E412" s="175"/>
      <c r="F412" s="175"/>
      <c r="G412" s="156"/>
      <c r="H412" s="156"/>
    </row>
    <row r="413" spans="5:8" ht="11.1" customHeight="1">
      <c r="E413" s="175"/>
      <c r="F413" s="175"/>
      <c r="G413" s="156"/>
      <c r="H413" s="156"/>
    </row>
    <row r="414" spans="5:8" ht="11.1" customHeight="1">
      <c r="E414" s="175"/>
      <c r="F414" s="175"/>
      <c r="G414" s="156"/>
      <c r="H414" s="156"/>
    </row>
    <row r="415" spans="5:8" ht="11.1" customHeight="1">
      <c r="E415" s="175"/>
      <c r="F415" s="175"/>
      <c r="G415" s="156"/>
      <c r="H415" s="156"/>
    </row>
    <row r="416" spans="5:8" ht="11.1" customHeight="1">
      <c r="E416" s="175"/>
      <c r="F416" s="175"/>
      <c r="G416" s="156"/>
      <c r="H416" s="156"/>
    </row>
    <row r="417" spans="5:8" ht="11.1" customHeight="1">
      <c r="E417" s="175"/>
      <c r="F417" s="175"/>
      <c r="G417" s="156"/>
      <c r="H417" s="156"/>
    </row>
    <row r="418" spans="5:8" ht="11.1" customHeight="1">
      <c r="E418" s="175"/>
      <c r="F418" s="175"/>
      <c r="G418" s="156"/>
      <c r="H418" s="156"/>
    </row>
    <row r="419" spans="5:8" ht="11.1" customHeight="1">
      <c r="E419" s="175"/>
      <c r="F419" s="175"/>
      <c r="G419" s="156"/>
      <c r="H419" s="156"/>
    </row>
    <row r="420" spans="5:8" ht="11.1" customHeight="1">
      <c r="E420" s="175"/>
      <c r="F420" s="175"/>
      <c r="G420" s="156"/>
      <c r="H420" s="156"/>
    </row>
    <row r="421" spans="5:8" ht="11.1" customHeight="1">
      <c r="E421" s="175"/>
      <c r="F421" s="175"/>
      <c r="G421" s="156"/>
      <c r="H421" s="156"/>
    </row>
  </sheetData>
  <phoneticPr fontId="2" type="noConversion"/>
  <printOptions horizontalCentered="1" gridLines="1"/>
  <pageMargins left="0.19685039370078741" right="0.19685039370078741" top="0.19685039370078741" bottom="0.82677165354330717" header="0.4921259845" footer="0.4921259845"/>
  <pageSetup paperSize="9" orientation="portrait" r:id="rId1"/>
  <headerFooter alignWithMargins="0">
    <oddFooter>&amp;L&amp;"Arial Narrow,Gras"&amp;8Intranet.&amp;"Arial Narrow,Normal" Version: 16.08.2001 - Prochaine mise à jour: 30.08.2002
Service de statistique de l'Etat de Fribourg-RM-Annuaire\Ann-01\&amp;F-&amp;D-&amp;T&amp;R&amp;"Arial Narrow,Normal"&amp;8&amp;P/&amp;N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Calcul des impôts</vt:lpstr>
      <vt:lpstr>Part des paroisses</vt:lpstr>
      <vt:lpstr>Taux 2015-324- communaux</vt:lpstr>
      <vt:lpstr>'Calcul des impôts'!Druckbereich</vt:lpstr>
      <vt:lpstr>'Taux 2015-324- communaux'!Druckbereich</vt:lpstr>
      <vt:lpstr>'Taux 2015-324- communaux'!Drucktitel</vt:lpstr>
      <vt:lpstr>QUERY1</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d'impôts</dc:title>
  <dc:creator>Chassot André</dc:creator>
  <cp:lastModifiedBy>Güdel Roland</cp:lastModifiedBy>
  <cp:lastPrinted>2017-09-21T09:34:27Z</cp:lastPrinted>
  <dcterms:created xsi:type="dcterms:W3CDTF">2003-11-05T11:41:17Z</dcterms:created>
  <dcterms:modified xsi:type="dcterms:W3CDTF">2018-06-13T09:09:51Z</dcterms:modified>
</cp:coreProperties>
</file>