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DieseArbeitsmappe" defaultThemeVersion="124226"/>
  <mc:AlternateContent xmlns:mc="http://schemas.openxmlformats.org/markup-compatibility/2006">
    <mc:Choice Requires="x15">
      <x15ac:absPath xmlns:x15ac="http://schemas.microsoft.com/office/spreadsheetml/2010/11/ac" url="L:\SAgri\7. Aménagement du territoire\7.1 Administration\7.1.1 Modèles\SAgri_calcul_MB_MS\Mises à jour\2022\"/>
    </mc:Choice>
  </mc:AlternateContent>
  <xr:revisionPtr revIDLastSave="0" documentId="8_{EDAF54A8-1254-4055-ADB0-6CF05CEFEF4E}" xr6:coauthVersionLast="47" xr6:coauthVersionMax="47" xr10:uidLastSave="{00000000-0000-0000-0000-000000000000}"/>
  <workbookProtection workbookAlgorithmName="SHA-512" workbookHashValue="v/WkqwNAeIAknOHJ0CV+7mjUPL3TIvw8vd+DXrPdQT4YhDkk33xIsu5U7xeoDwcNUIbDw/sypHgLrsNI7oz1bA==" workbookSaltValue="VVxizagnO1yxdGgl6y6Z7g==" workbookSpinCount="100000" lockStructure="1"/>
  <bookViews>
    <workbookView xWindow="-120" yWindow="-120" windowWidth="29040" windowHeight="15840" activeTab="1" xr2:uid="{00000000-000D-0000-FFFF-FFFF00000000}"/>
  </bookViews>
  <sheets>
    <sheet name="Explications" sheetId="6" r:id="rId1"/>
    <sheet name="FR Grangeneuve" sheetId="1" r:id="rId2"/>
    <sheet name="Sprache+DB" sheetId="3" state="hidden" r:id="rId3"/>
    <sheet name="Auswahl" sheetId="5" state="hidden" r:id="rId4"/>
    <sheet name="Werte TS" sheetId="4" state="hidden" r:id="rId5"/>
  </sheets>
  <definedNames>
    <definedName name="_xlnm.Print_Area" localSheetId="1">'FR Grangeneuve'!$A$1:$H$122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28" i="1"/>
  <c r="N70" i="3"/>
  <c r="T70" i="3"/>
  <c r="N68" i="3"/>
  <c r="T68" i="3"/>
  <c r="N67" i="3"/>
  <c r="T67" i="3"/>
  <c r="N57" i="3"/>
  <c r="T57" i="3"/>
  <c r="N60" i="3"/>
  <c r="T60" i="3"/>
  <c r="N59" i="3"/>
  <c r="T59" i="3"/>
  <c r="N33" i="3"/>
  <c r="T33" i="3"/>
  <c r="O13" i="3" l="1"/>
  <c r="U13" i="3"/>
  <c r="N13" i="3"/>
  <c r="T13" i="3"/>
  <c r="G6" i="3"/>
  <c r="AD16" i="3"/>
  <c r="AC16" i="3"/>
  <c r="AB16" i="3"/>
  <c r="Z70" i="3" l="1"/>
  <c r="Z68" i="3"/>
  <c r="Z67" i="3"/>
  <c r="Y67" i="3" s="1"/>
  <c r="Z57" i="3"/>
  <c r="Z60" i="3"/>
  <c r="Z59" i="3"/>
  <c r="Y59" i="3" s="1"/>
  <c r="Z33" i="3"/>
  <c r="Y33" i="3" s="1"/>
  <c r="AA13" i="3"/>
  <c r="Y13" i="3" s="1"/>
  <c r="Z13" i="3"/>
  <c r="C169" i="3"/>
  <c r="A17" i="6" s="1"/>
  <c r="C170" i="3"/>
  <c r="A19" i="6" s="1"/>
  <c r="C171" i="3"/>
  <c r="A20" i="6" s="1"/>
  <c r="C172" i="3"/>
  <c r="A22" i="6" s="1"/>
  <c r="C173" i="3"/>
  <c r="A23" i="6" s="1"/>
  <c r="C174" i="3"/>
  <c r="A25" i="6" s="1"/>
  <c r="C175" i="3"/>
  <c r="A26" i="6" s="1"/>
  <c r="C176" i="3"/>
  <c r="A27" i="6" s="1"/>
  <c r="C177" i="3"/>
  <c r="A29" i="6" s="1"/>
  <c r="C178" i="3"/>
  <c r="A30" i="6" s="1"/>
  <c r="C179" i="3"/>
  <c r="A31" i="6" s="1"/>
  <c r="C180" i="3"/>
  <c r="A35" i="6" s="1"/>
  <c r="C162" i="3"/>
  <c r="C163" i="3"/>
  <c r="A7" i="6" s="1"/>
  <c r="C164" i="3"/>
  <c r="A10" i="6" s="1"/>
  <c r="C165" i="3"/>
  <c r="A11" i="6" s="1"/>
  <c r="C166" i="3"/>
  <c r="A13" i="6" s="1"/>
  <c r="C167" i="3"/>
  <c r="A14" i="6" s="1"/>
  <c r="C168" i="3"/>
  <c r="A15" i="6" s="1"/>
  <c r="C160" i="3"/>
  <c r="D14" i="5" s="1"/>
  <c r="AF70" i="3"/>
  <c r="AE70" i="3" s="1"/>
  <c r="AF68" i="3"/>
  <c r="AF67" i="3"/>
  <c r="AF60" i="3"/>
  <c r="AF59" i="3"/>
  <c r="AE59" i="3" s="1"/>
  <c r="AF57" i="3"/>
  <c r="AE57" i="3" s="1"/>
  <c r="AF33" i="3"/>
  <c r="AF15" i="3"/>
  <c r="AG13" i="3"/>
  <c r="AE13" i="3" s="1"/>
  <c r="AF13" i="3"/>
  <c r="AE7" i="3"/>
  <c r="C20" i="3"/>
  <c r="A33" i="1" s="1"/>
  <c r="G21" i="3"/>
  <c r="F21" i="3" s="1"/>
  <c r="E34" i="1" s="1"/>
  <c r="F34" i="1" s="1"/>
  <c r="G20" i="3"/>
  <c r="F20" i="3"/>
  <c r="AE68" i="3"/>
  <c r="AE67" i="3"/>
  <c r="AE60" i="3"/>
  <c r="AE27" i="3"/>
  <c r="AE28" i="3"/>
  <c r="AE29" i="3"/>
  <c r="AE33" i="3"/>
  <c r="AE34" i="3"/>
  <c r="AE35" i="3"/>
  <c r="AE36" i="3"/>
  <c r="AE39" i="3"/>
  <c r="AE40" i="3"/>
  <c r="AE42" i="3"/>
  <c r="AE45" i="3"/>
  <c r="AE46" i="3"/>
  <c r="AE26" i="3"/>
  <c r="H70" i="3"/>
  <c r="H68" i="3"/>
  <c r="G68" i="3" s="1"/>
  <c r="H67" i="3"/>
  <c r="H60" i="3"/>
  <c r="G60" i="3" s="1"/>
  <c r="H59" i="3"/>
  <c r="H57" i="3"/>
  <c r="H33" i="3"/>
  <c r="G33" i="3" s="1"/>
  <c r="I13" i="3"/>
  <c r="G13" i="3" s="1"/>
  <c r="H13" i="3"/>
  <c r="AE8" i="3"/>
  <c r="AE9" i="3" s="1"/>
  <c r="G10" i="3"/>
  <c r="G11" i="3" s="1"/>
  <c r="AE10" i="3"/>
  <c r="AE11" i="3" s="1"/>
  <c r="G12" i="3"/>
  <c r="AE12" i="3"/>
  <c r="G14" i="3"/>
  <c r="AE14" i="3"/>
  <c r="G15" i="3"/>
  <c r="AE15" i="3"/>
  <c r="G17" i="3"/>
  <c r="AE17" i="3"/>
  <c r="G18" i="3"/>
  <c r="AE18" i="3"/>
  <c r="G19" i="3"/>
  <c r="AE19" i="3"/>
  <c r="AE6" i="3"/>
  <c r="D35" i="1"/>
  <c r="E33" i="1"/>
  <c r="F33" i="1" s="1"/>
  <c r="G34" i="1"/>
  <c r="H34" i="1" s="1"/>
  <c r="G33" i="1"/>
  <c r="D23" i="4"/>
  <c r="E23" i="4" s="1"/>
  <c r="F23" i="4" s="1"/>
  <c r="G23" i="4" s="1"/>
  <c r="D22" i="4"/>
  <c r="E22" i="4"/>
  <c r="F22" i="4" s="1"/>
  <c r="G22" i="4"/>
  <c r="AE20" i="3"/>
  <c r="AE21" i="3"/>
  <c r="Y20" i="3"/>
  <c r="Y21" i="3"/>
  <c r="S20" i="3"/>
  <c r="S21" i="3"/>
  <c r="M20" i="3"/>
  <c r="M21" i="3"/>
  <c r="C21" i="3"/>
  <c r="A34" i="1" s="1"/>
  <c r="C22" i="3"/>
  <c r="C26" i="3"/>
  <c r="A39" i="1" s="1"/>
  <c r="C6" i="3"/>
  <c r="A18" i="1" s="1"/>
  <c r="C23" i="3"/>
  <c r="C24" i="3"/>
  <c r="C25" i="3"/>
  <c r="T25" i="3" s="1"/>
  <c r="C27" i="3"/>
  <c r="A40" i="1" s="1"/>
  <c r="C28" i="3"/>
  <c r="C29" i="3"/>
  <c r="A42" i="1" s="1"/>
  <c r="C30" i="3"/>
  <c r="A43" i="1" s="1"/>
  <c r="C31" i="3"/>
  <c r="A44" i="1" s="1"/>
  <c r="C32" i="3"/>
  <c r="A45" i="1" s="1"/>
  <c r="C33" i="3"/>
  <c r="A46" i="1" s="1"/>
  <c r="C34" i="3"/>
  <c r="A47" i="1" s="1"/>
  <c r="C35" i="3"/>
  <c r="A48" i="1" s="1"/>
  <c r="C36" i="3"/>
  <c r="A49" i="1" s="1"/>
  <c r="G30" i="1"/>
  <c r="H30" i="1" s="1"/>
  <c r="G24" i="1"/>
  <c r="H33" i="1"/>
  <c r="G76" i="3"/>
  <c r="G75" i="3"/>
  <c r="G74" i="3"/>
  <c r="G73" i="3"/>
  <c r="G72" i="3"/>
  <c r="G71" i="3"/>
  <c r="G70" i="3"/>
  <c r="G69" i="3"/>
  <c r="G67" i="3"/>
  <c r="G65" i="3"/>
  <c r="G64" i="3"/>
  <c r="G63" i="3"/>
  <c r="G62" i="3"/>
  <c r="G61" i="3"/>
  <c r="G59" i="3"/>
  <c r="G57" i="3"/>
  <c r="H55" i="3"/>
  <c r="G52" i="3"/>
  <c r="G51" i="3"/>
  <c r="G50" i="3"/>
  <c r="G49" i="3"/>
  <c r="G48" i="3"/>
  <c r="G47" i="3"/>
  <c r="G46" i="3"/>
  <c r="G45" i="3"/>
  <c r="G44" i="3"/>
  <c r="G43" i="3"/>
  <c r="G42" i="3"/>
  <c r="G41" i="3"/>
  <c r="G40" i="3"/>
  <c r="G39" i="3"/>
  <c r="G38" i="3"/>
  <c r="G37" i="3"/>
  <c r="G36" i="3"/>
  <c r="G35" i="3"/>
  <c r="G34" i="3"/>
  <c r="G32" i="3"/>
  <c r="G31" i="3"/>
  <c r="G30" i="3"/>
  <c r="G29" i="3"/>
  <c r="G28" i="3"/>
  <c r="G27" i="3"/>
  <c r="G26" i="3"/>
  <c r="G23" i="3"/>
  <c r="G8" i="3"/>
  <c r="G9" i="3" s="1"/>
  <c r="G7" i="3"/>
  <c r="AE76" i="3"/>
  <c r="AE75" i="3"/>
  <c r="AE74" i="3"/>
  <c r="AE73" i="3"/>
  <c r="AE72" i="3"/>
  <c r="AE71" i="3"/>
  <c r="AE69" i="3"/>
  <c r="AE65" i="3"/>
  <c r="AE64" i="3"/>
  <c r="AE63" i="3"/>
  <c r="AE62" i="3"/>
  <c r="AE61" i="3"/>
  <c r="AE52" i="3"/>
  <c r="AE51" i="3"/>
  <c r="AE50" i="3"/>
  <c r="AE49" i="3"/>
  <c r="AE48" i="3"/>
  <c r="AE47" i="3"/>
  <c r="AE44" i="3"/>
  <c r="AE43" i="3"/>
  <c r="AE41" i="3"/>
  <c r="AE38" i="3"/>
  <c r="AE37" i="3"/>
  <c r="AE32" i="3"/>
  <c r="AE31" i="3"/>
  <c r="F31" i="3" s="1"/>
  <c r="E44" i="1" s="1"/>
  <c r="AE30" i="3"/>
  <c r="AE23" i="3"/>
  <c r="M70" i="3"/>
  <c r="M68" i="3"/>
  <c r="M67" i="3"/>
  <c r="M60" i="3"/>
  <c r="M59" i="3"/>
  <c r="M57" i="3"/>
  <c r="M33" i="3"/>
  <c r="M13" i="3"/>
  <c r="M76" i="3"/>
  <c r="M75" i="3"/>
  <c r="M74" i="3"/>
  <c r="M73" i="3"/>
  <c r="M72" i="3"/>
  <c r="M71" i="3"/>
  <c r="M69" i="3"/>
  <c r="M65" i="3"/>
  <c r="M64" i="3"/>
  <c r="M63" i="3"/>
  <c r="M62" i="3"/>
  <c r="M61" i="3"/>
  <c r="M52" i="3"/>
  <c r="M51" i="3"/>
  <c r="M50" i="3"/>
  <c r="F50" i="3" s="1"/>
  <c r="E63" i="1" s="1"/>
  <c r="F63" i="1" s="1"/>
  <c r="M49" i="3"/>
  <c r="M48" i="3"/>
  <c r="M47" i="3"/>
  <c r="M46" i="3"/>
  <c r="M45" i="3"/>
  <c r="M44" i="3"/>
  <c r="M43" i="3"/>
  <c r="M42" i="3"/>
  <c r="M41" i="3"/>
  <c r="M40" i="3"/>
  <c r="M39" i="3"/>
  <c r="M38" i="3"/>
  <c r="M37" i="3"/>
  <c r="M36" i="3"/>
  <c r="M35" i="3"/>
  <c r="M34" i="3"/>
  <c r="M32" i="3"/>
  <c r="M31" i="3"/>
  <c r="M30" i="3"/>
  <c r="M29" i="3"/>
  <c r="M28" i="3"/>
  <c r="M27" i="3"/>
  <c r="M26" i="3"/>
  <c r="M23" i="3"/>
  <c r="M19" i="3"/>
  <c r="M18" i="3"/>
  <c r="M17" i="3"/>
  <c r="M15" i="3"/>
  <c r="M14" i="3"/>
  <c r="M12" i="3"/>
  <c r="M10" i="3"/>
  <c r="M11" i="3" s="1"/>
  <c r="M8" i="3"/>
  <c r="M9" i="3" s="1"/>
  <c r="M7" i="3"/>
  <c r="M6" i="3"/>
  <c r="C97" i="3"/>
  <c r="A4" i="6" s="1"/>
  <c r="S68" i="3"/>
  <c r="S67" i="3"/>
  <c r="S59" i="3"/>
  <c r="S33" i="3"/>
  <c r="S13" i="3"/>
  <c r="Y57" i="3"/>
  <c r="Y60" i="3"/>
  <c r="S76" i="3"/>
  <c r="S75" i="3"/>
  <c r="S74" i="3"/>
  <c r="S73" i="3"/>
  <c r="S72" i="3"/>
  <c r="S71" i="3"/>
  <c r="S70" i="3"/>
  <c r="S69" i="3"/>
  <c r="S65" i="3"/>
  <c r="S64" i="3"/>
  <c r="S63" i="3"/>
  <c r="S62" i="3"/>
  <c r="S61" i="3"/>
  <c r="S60" i="3"/>
  <c r="S57" i="3"/>
  <c r="S52" i="3"/>
  <c r="S51" i="3"/>
  <c r="S50" i="3"/>
  <c r="S49" i="3"/>
  <c r="S48" i="3"/>
  <c r="S47" i="3"/>
  <c r="S46" i="3"/>
  <c r="S45" i="3"/>
  <c r="S44" i="3"/>
  <c r="S43" i="3"/>
  <c r="S42" i="3"/>
  <c r="S41" i="3"/>
  <c r="S40" i="3"/>
  <c r="S39" i="3"/>
  <c r="S38" i="3"/>
  <c r="S37" i="3"/>
  <c r="F37" i="3" s="1"/>
  <c r="E50" i="1" s="1"/>
  <c r="F50" i="1" s="1"/>
  <c r="S36" i="3"/>
  <c r="S35" i="3"/>
  <c r="S34" i="3"/>
  <c r="S32" i="3"/>
  <c r="S31" i="3"/>
  <c r="S30" i="3"/>
  <c r="S29" i="3"/>
  <c r="S28" i="3"/>
  <c r="S27" i="3"/>
  <c r="S26" i="3"/>
  <c r="S23" i="3"/>
  <c r="S19" i="3"/>
  <c r="S18" i="3"/>
  <c r="S17" i="3"/>
  <c r="S15" i="3"/>
  <c r="S14" i="3"/>
  <c r="S12" i="3"/>
  <c r="S10" i="3"/>
  <c r="S11" i="3" s="1"/>
  <c r="S8" i="3"/>
  <c r="S7" i="3"/>
  <c r="S6" i="3"/>
  <c r="Y14" i="3"/>
  <c r="Y15" i="3"/>
  <c r="Y76" i="3"/>
  <c r="Y75" i="3"/>
  <c r="F75" i="3" s="1"/>
  <c r="E88" i="1" s="1"/>
  <c r="F88" i="1" s="1"/>
  <c r="Y74" i="3"/>
  <c r="Y73" i="3"/>
  <c r="Y72" i="3"/>
  <c r="Y71" i="3"/>
  <c r="F71" i="3" s="1"/>
  <c r="E84" i="1" s="1"/>
  <c r="F84" i="1" s="1"/>
  <c r="Y70" i="3"/>
  <c r="Y69" i="3"/>
  <c r="Y68" i="3"/>
  <c r="Y65" i="3"/>
  <c r="F65" i="3" s="1"/>
  <c r="E78" i="1" s="1"/>
  <c r="F78" i="1" s="1"/>
  <c r="Y64" i="3"/>
  <c r="Y63" i="3"/>
  <c r="F63" i="3" s="1"/>
  <c r="E76" i="1" s="1"/>
  <c r="F76" i="1" s="1"/>
  <c r="Y62" i="3"/>
  <c r="F62" i="3" s="1"/>
  <c r="E75" i="1" s="1"/>
  <c r="F75" i="1" s="1"/>
  <c r="Y61" i="3"/>
  <c r="F61" i="3" s="1"/>
  <c r="E74" i="1" s="1"/>
  <c r="F74" i="1" s="1"/>
  <c r="Y52" i="3"/>
  <c r="F52" i="3" s="1"/>
  <c r="Y51" i="3"/>
  <c r="Y50" i="3"/>
  <c r="Y49" i="3"/>
  <c r="Y48" i="3"/>
  <c r="Y47" i="3"/>
  <c r="Y46" i="3"/>
  <c r="Y45" i="3"/>
  <c r="Y44" i="3"/>
  <c r="F44" i="3" s="1"/>
  <c r="E57" i="1" s="1"/>
  <c r="F57" i="1" s="1"/>
  <c r="Y43" i="3"/>
  <c r="Y42" i="3"/>
  <c r="Y41" i="3"/>
  <c r="Y40" i="3"/>
  <c r="Y39" i="3"/>
  <c r="Y38" i="3"/>
  <c r="Y37" i="3"/>
  <c r="Y36" i="3"/>
  <c r="Y35" i="3"/>
  <c r="Y34" i="3"/>
  <c r="Y32" i="3"/>
  <c r="F32" i="3" s="1"/>
  <c r="Y31" i="3"/>
  <c r="Y30" i="3"/>
  <c r="Y29" i="3"/>
  <c r="Y28" i="3"/>
  <c r="Y27" i="3"/>
  <c r="F27" i="3" s="1"/>
  <c r="E40" i="1" s="1"/>
  <c r="F40" i="1" s="1"/>
  <c r="Y26" i="3"/>
  <c r="Y23" i="3"/>
  <c r="Y19" i="3"/>
  <c r="F19" i="3" s="1"/>
  <c r="F31" i="1" s="1"/>
  <c r="Y18" i="3"/>
  <c r="Y17" i="3"/>
  <c r="Y16" i="3"/>
  <c r="F16" i="3" s="1"/>
  <c r="F28" i="1" s="1"/>
  <c r="Y12" i="3"/>
  <c r="Y10" i="3"/>
  <c r="Y8" i="3"/>
  <c r="Y7" i="3"/>
  <c r="F7" i="3" s="1"/>
  <c r="E19" i="1" s="1"/>
  <c r="F19" i="1" s="1"/>
  <c r="Y6" i="3"/>
  <c r="S9" i="3"/>
  <c r="G26" i="1"/>
  <c r="H26" i="1"/>
  <c r="D15" i="4"/>
  <c r="E15" i="4"/>
  <c r="F15" i="4" s="1"/>
  <c r="G15" i="4" s="1"/>
  <c r="D16" i="4"/>
  <c r="E16" i="4"/>
  <c r="F16" i="4" s="1"/>
  <c r="G16" i="4"/>
  <c r="G25" i="1"/>
  <c r="H25" i="1" s="1"/>
  <c r="G18" i="1"/>
  <c r="H18" i="1"/>
  <c r="G20" i="1"/>
  <c r="H20" i="1" s="1"/>
  <c r="G22" i="1"/>
  <c r="H22" i="1" s="1"/>
  <c r="G46" i="1"/>
  <c r="H46" i="1" s="1"/>
  <c r="G27" i="1"/>
  <c r="C19" i="3"/>
  <c r="A31" i="1" s="1"/>
  <c r="C37" i="3"/>
  <c r="A50" i="1" s="1"/>
  <c r="C38" i="3"/>
  <c r="A51" i="1" s="1"/>
  <c r="C39" i="3"/>
  <c r="A52" i="1" s="1"/>
  <c r="C40" i="3"/>
  <c r="A53" i="1" s="1"/>
  <c r="C41" i="3"/>
  <c r="A54" i="1" s="1"/>
  <c r="C42" i="3"/>
  <c r="A55" i="1" s="1"/>
  <c r="C43" i="3"/>
  <c r="A56" i="1" s="1"/>
  <c r="C44" i="3"/>
  <c r="A57" i="1" s="1"/>
  <c r="C45" i="3"/>
  <c r="A58" i="1" s="1"/>
  <c r="C46" i="3"/>
  <c r="A59" i="1" s="1"/>
  <c r="C47" i="3"/>
  <c r="A60" i="1" s="1"/>
  <c r="C48" i="3"/>
  <c r="A61" i="1" s="1"/>
  <c r="C49" i="3"/>
  <c r="A62" i="1" s="1"/>
  <c r="C50" i="3"/>
  <c r="A63" i="1" s="1"/>
  <c r="C51" i="3"/>
  <c r="A64" i="1" s="1"/>
  <c r="C52" i="3"/>
  <c r="A65" i="1" s="1"/>
  <c r="C53" i="3"/>
  <c r="C54" i="3"/>
  <c r="C55" i="3"/>
  <c r="T55" i="3" s="1"/>
  <c r="C57" i="3"/>
  <c r="A70" i="1" s="1"/>
  <c r="C58" i="3"/>
  <c r="C59" i="3"/>
  <c r="A72" i="1" s="1"/>
  <c r="C60" i="3"/>
  <c r="A73" i="1" s="1"/>
  <c r="C61" i="3"/>
  <c r="A74" i="1" s="1"/>
  <c r="C62" i="3"/>
  <c r="A75" i="1" s="1"/>
  <c r="C63" i="3"/>
  <c r="A76" i="1" s="1"/>
  <c r="C64" i="3"/>
  <c r="A77" i="1" s="1"/>
  <c r="C65" i="3"/>
  <c r="A78" i="1" s="1"/>
  <c r="C66" i="3"/>
  <c r="C67" i="3"/>
  <c r="A80" i="1" s="1"/>
  <c r="C68" i="3"/>
  <c r="A81" i="1" s="1"/>
  <c r="C69" i="3"/>
  <c r="A82" i="1" s="1"/>
  <c r="C70" i="3"/>
  <c r="A83" i="1" s="1"/>
  <c r="C71" i="3"/>
  <c r="A84" i="1" s="1"/>
  <c r="C72" i="3"/>
  <c r="A85" i="1" s="1"/>
  <c r="C73" i="3"/>
  <c r="A86" i="1" s="1"/>
  <c r="C74" i="3"/>
  <c r="A87" i="1" s="1"/>
  <c r="C75" i="3"/>
  <c r="A88" i="1" s="1"/>
  <c r="C76" i="3"/>
  <c r="A89" i="1" s="1"/>
  <c r="C77" i="3"/>
  <c r="C78" i="3"/>
  <c r="A98" i="1" s="1"/>
  <c r="C79" i="3"/>
  <c r="A102" i="1" s="1"/>
  <c r="C80" i="3"/>
  <c r="A92" i="1" s="1"/>
  <c r="C81" i="3"/>
  <c r="C82" i="3"/>
  <c r="D104" i="1" s="1"/>
  <c r="C83" i="3"/>
  <c r="B104" i="1" s="1"/>
  <c r="C84" i="3"/>
  <c r="F104" i="1" s="1"/>
  <c r="C85" i="3"/>
  <c r="A106" i="1" s="1"/>
  <c r="C86" i="3"/>
  <c r="C87" i="3"/>
  <c r="C88" i="3"/>
  <c r="A94" i="1" s="1"/>
  <c r="C89" i="3"/>
  <c r="B96" i="1" s="1"/>
  <c r="C90" i="3"/>
  <c r="D96" i="1" s="1"/>
  <c r="C91" i="3"/>
  <c r="F96" i="1" s="1"/>
  <c r="C92" i="3"/>
  <c r="C93" i="3"/>
  <c r="C94" i="3"/>
  <c r="C95" i="3"/>
  <c r="A1" i="6"/>
  <c r="C98" i="3"/>
  <c r="A10" i="1" s="1"/>
  <c r="C99" i="3"/>
  <c r="E12" i="1" s="1"/>
  <c r="C100" i="3"/>
  <c r="C101" i="3"/>
  <c r="E10" i="1" s="1"/>
  <c r="C102" i="3"/>
  <c r="C103" i="3"/>
  <c r="A14" i="1" s="1"/>
  <c r="C104" i="3"/>
  <c r="E13" i="1" s="1"/>
  <c r="C105" i="3"/>
  <c r="E14" i="1" s="1"/>
  <c r="C106" i="3"/>
  <c r="A12" i="1" s="1"/>
  <c r="C107" i="3"/>
  <c r="A13" i="1" s="1"/>
  <c r="C108" i="3"/>
  <c r="A6" i="1" s="1"/>
  <c r="C109" i="3"/>
  <c r="C110" i="3"/>
  <c r="E16" i="1" s="1"/>
  <c r="E37" i="1" s="1"/>
  <c r="C111" i="3"/>
  <c r="F16" i="1" s="1"/>
  <c r="F37" i="1" s="1"/>
  <c r="C112" i="3"/>
  <c r="G16" i="1" s="1"/>
  <c r="C113" i="3"/>
  <c r="G17" i="1" s="1"/>
  <c r="C114" i="3"/>
  <c r="H17" i="1" s="1"/>
  <c r="C115" i="3"/>
  <c r="H16" i="1" s="1"/>
  <c r="C116" i="3"/>
  <c r="D69" i="1" s="1"/>
  <c r="C117" i="3"/>
  <c r="H37" i="1" s="1"/>
  <c r="C118" i="3"/>
  <c r="C119" i="3"/>
  <c r="D37" i="1" s="1"/>
  <c r="C120" i="3"/>
  <c r="G37" i="1" s="1"/>
  <c r="C121" i="3"/>
  <c r="D16" i="1" s="1"/>
  <c r="C122" i="3"/>
  <c r="A67" i="1" s="1"/>
  <c r="C123" i="3"/>
  <c r="E11" i="1" s="1"/>
  <c r="C124" i="3"/>
  <c r="C125" i="3"/>
  <c r="C126" i="3"/>
  <c r="C127" i="3"/>
  <c r="C128" i="3"/>
  <c r="C129" i="3"/>
  <c r="C130" i="3"/>
  <c r="C131" i="3"/>
  <c r="C132" i="3"/>
  <c r="C133" i="3"/>
  <c r="C134" i="3"/>
  <c r="C135" i="3"/>
  <c r="C136" i="3"/>
  <c r="C137" i="3"/>
  <c r="C138" i="3"/>
  <c r="A111" i="1" s="1"/>
  <c r="C139" i="3"/>
  <c r="E111" i="1" s="1"/>
  <c r="C140" i="3"/>
  <c r="C141" i="3"/>
  <c r="C142" i="3"/>
  <c r="C143" i="3"/>
  <c r="C144" i="3"/>
  <c r="C145" i="3"/>
  <c r="A116" i="1" s="1"/>
  <c r="C146" i="3"/>
  <c r="A117" i="1" s="1"/>
  <c r="C147" i="3"/>
  <c r="A118" i="1" s="1"/>
  <c r="C148" i="3"/>
  <c r="A119" i="1" s="1"/>
  <c r="C149" i="3"/>
  <c r="A120" i="1" s="1"/>
  <c r="C150" i="3"/>
  <c r="A121" i="1" s="1"/>
  <c r="C151" i="3"/>
  <c r="B11" i="5" s="1"/>
  <c r="F14" i="1" s="1"/>
  <c r="C152" i="3"/>
  <c r="B12" i="5" s="1"/>
  <c r="C153" i="3"/>
  <c r="B13" i="5" s="1"/>
  <c r="C154" i="3"/>
  <c r="B14" i="5" s="1"/>
  <c r="C155" i="3"/>
  <c r="B15" i="5" s="1"/>
  <c r="C156" i="3"/>
  <c r="C157" i="3"/>
  <c r="D11" i="5" s="1"/>
  <c r="C158" i="3"/>
  <c r="D12" i="5" s="1"/>
  <c r="C159" i="3"/>
  <c r="D13" i="5" s="1"/>
  <c r="C161" i="3"/>
  <c r="J16" i="1" s="1"/>
  <c r="H44" i="1"/>
  <c r="H45" i="1"/>
  <c r="C13" i="3"/>
  <c r="A25" i="1" s="1"/>
  <c r="C14" i="3"/>
  <c r="A26" i="1" s="1"/>
  <c r="C15" i="3"/>
  <c r="A27" i="1" s="1"/>
  <c r="C16" i="3"/>
  <c r="A28" i="1" s="1"/>
  <c r="C17" i="3"/>
  <c r="A29" i="1" s="1"/>
  <c r="C18" i="3"/>
  <c r="A30" i="1" s="1"/>
  <c r="G32" i="1"/>
  <c r="D21" i="4"/>
  <c r="E21" i="4" s="1"/>
  <c r="F21" i="4" s="1"/>
  <c r="G21" i="4" s="1"/>
  <c r="D19" i="4"/>
  <c r="E19" i="4" s="1"/>
  <c r="F19" i="4" s="1"/>
  <c r="G19" i="4" s="1"/>
  <c r="H40" i="1"/>
  <c r="H41" i="1"/>
  <c r="H42" i="1"/>
  <c r="H43" i="1"/>
  <c r="H39" i="1"/>
  <c r="F68" i="4"/>
  <c r="E68" i="4"/>
  <c r="D68" i="4"/>
  <c r="H63" i="4"/>
  <c r="G63" i="4"/>
  <c r="F63" i="4"/>
  <c r="C62" i="4" s="1"/>
  <c r="E63" i="4"/>
  <c r="D63" i="4"/>
  <c r="G12" i="4"/>
  <c r="F12" i="4"/>
  <c r="E12" i="4"/>
  <c r="D12" i="4"/>
  <c r="C12" i="4"/>
  <c r="G23" i="1" s="1"/>
  <c r="H23" i="1" s="1"/>
  <c r="G10" i="4"/>
  <c r="F10" i="4"/>
  <c r="E10" i="4"/>
  <c r="D10" i="4"/>
  <c r="C10" i="4"/>
  <c r="G21" i="1" s="1"/>
  <c r="D8" i="4"/>
  <c r="E8" i="4"/>
  <c r="F8" i="4"/>
  <c r="G8" i="4"/>
  <c r="C8" i="4"/>
  <c r="G19" i="1" s="1"/>
  <c r="H19" i="1" s="1"/>
  <c r="G29" i="1"/>
  <c r="G31" i="1"/>
  <c r="H31" i="1" s="1"/>
  <c r="D14" i="4"/>
  <c r="E14" i="4" s="1"/>
  <c r="F14" i="4" s="1"/>
  <c r="G14" i="4" s="1"/>
  <c r="D17" i="4"/>
  <c r="E17" i="4" s="1"/>
  <c r="F17" i="4" s="1"/>
  <c r="G17" i="4" s="1"/>
  <c r="G28" i="1"/>
  <c r="H28" i="1" s="1"/>
  <c r="D18" i="4"/>
  <c r="E18" i="4" s="1"/>
  <c r="F18" i="4" s="1"/>
  <c r="G18" i="4" s="1"/>
  <c r="D20" i="4"/>
  <c r="E20" i="4" s="1"/>
  <c r="F20" i="4"/>
  <c r="G20" i="4" s="1"/>
  <c r="D13" i="4"/>
  <c r="E13" i="4" s="1"/>
  <c r="F13" i="4" s="1"/>
  <c r="G13" i="4" s="1"/>
  <c r="C5" i="3"/>
  <c r="A17" i="1" s="1"/>
  <c r="A32" i="1"/>
  <c r="C9" i="3"/>
  <c r="A21" i="1" s="1"/>
  <c r="C10" i="3"/>
  <c r="A22" i="1" s="1"/>
  <c r="C11" i="3"/>
  <c r="A23" i="1" s="1"/>
  <c r="C12" i="3"/>
  <c r="A24" i="1" s="1"/>
  <c r="A12" i="5"/>
  <c r="A13" i="5" s="1"/>
  <c r="A14" i="5" s="1"/>
  <c r="A15" i="5" s="1"/>
  <c r="C4" i="3"/>
  <c r="A16" i="1" s="1"/>
  <c r="C7" i="3"/>
  <c r="A19" i="1" s="1"/>
  <c r="C8" i="3"/>
  <c r="A20" i="1" s="1"/>
  <c r="A41" i="1"/>
  <c r="H72" i="1"/>
  <c r="H73" i="1"/>
  <c r="H74" i="1"/>
  <c r="H75" i="1"/>
  <c r="H76" i="1"/>
  <c r="H77" i="1"/>
  <c r="H78" i="1"/>
  <c r="H80" i="1"/>
  <c r="H81" i="1"/>
  <c r="H82" i="1"/>
  <c r="H83" i="1"/>
  <c r="H84" i="1"/>
  <c r="H85" i="1"/>
  <c r="H86" i="1"/>
  <c r="H87" i="1"/>
  <c r="H88" i="1"/>
  <c r="H89" i="1"/>
  <c r="H70" i="1"/>
  <c r="H47" i="1"/>
  <c r="H48" i="1"/>
  <c r="H49" i="1"/>
  <c r="H50" i="1"/>
  <c r="H51" i="1"/>
  <c r="H52" i="1"/>
  <c r="H53" i="1"/>
  <c r="H54" i="1"/>
  <c r="H55" i="1"/>
  <c r="H56" i="1"/>
  <c r="H57" i="1"/>
  <c r="H58" i="1"/>
  <c r="H59" i="1"/>
  <c r="H60" i="1"/>
  <c r="H61" i="1"/>
  <c r="H62" i="1"/>
  <c r="H63" i="1"/>
  <c r="H64" i="1"/>
  <c r="H65" i="1"/>
  <c r="C190" i="3"/>
  <c r="C191" i="3"/>
  <c r="E65" i="1"/>
  <c r="F65" i="1" s="1"/>
  <c r="F44" i="1"/>
  <c r="E45" i="1"/>
  <c r="F45" i="1" s="1"/>
  <c r="H29" i="1"/>
  <c r="H27" i="1"/>
  <c r="H24" i="1"/>
  <c r="H21" i="1"/>
  <c r="H32" i="1"/>
  <c r="N55" i="3"/>
  <c r="H1" i="1"/>
  <c r="A38" i="1"/>
  <c r="N24" i="3"/>
  <c r="A37" i="1"/>
  <c r="F36" i="3" l="1"/>
  <c r="E49" i="1" s="1"/>
  <c r="F49" i="1" s="1"/>
  <c r="F13" i="3"/>
  <c r="E25" i="1" s="1"/>
  <c r="F25" i="1" s="1"/>
  <c r="F28" i="3"/>
  <c r="E41" i="1" s="1"/>
  <c r="F41" i="1" s="1"/>
  <c r="F45" i="3"/>
  <c r="E58" i="1" s="1"/>
  <c r="F58" i="1" s="1"/>
  <c r="F60" i="3"/>
  <c r="E73" i="1" s="1"/>
  <c r="F73" i="1" s="1"/>
  <c r="F29" i="3"/>
  <c r="E42" i="1" s="1"/>
  <c r="F42" i="1" s="1"/>
  <c r="F46" i="3"/>
  <c r="E59" i="1" s="1"/>
  <c r="F59" i="1" s="1"/>
  <c r="F68" i="3"/>
  <c r="E81" i="1" s="1"/>
  <c r="F81" i="1" s="1"/>
  <c r="F59" i="3"/>
  <c r="E72" i="1" s="1"/>
  <c r="F72" i="1" s="1"/>
  <c r="F17" i="3"/>
  <c r="E29" i="1" s="1"/>
  <c r="F29" i="1" s="1"/>
  <c r="F39" i="3"/>
  <c r="E52" i="1" s="1"/>
  <c r="F52" i="1" s="1"/>
  <c r="F47" i="3"/>
  <c r="E60" i="1" s="1"/>
  <c r="F60" i="1" s="1"/>
  <c r="A69" i="1"/>
  <c r="H66" i="1"/>
  <c r="F40" i="3"/>
  <c r="E53" i="1" s="1"/>
  <c r="F53" i="1" s="1"/>
  <c r="F48" i="3"/>
  <c r="E61" i="1" s="1"/>
  <c r="F61" i="1" s="1"/>
  <c r="F74" i="3"/>
  <c r="E87" i="1" s="1"/>
  <c r="F87" i="1" s="1"/>
  <c r="F41" i="3"/>
  <c r="E54" i="1" s="1"/>
  <c r="F54" i="1" s="1"/>
  <c r="F73" i="3"/>
  <c r="E86" i="1" s="1"/>
  <c r="F86" i="1" s="1"/>
  <c r="F6" i="3"/>
  <c r="E18" i="1" s="1"/>
  <c r="F18" i="1" s="1"/>
  <c r="F67" i="3"/>
  <c r="E80" i="1" s="1"/>
  <c r="F80" i="1" s="1"/>
  <c r="Z55" i="3"/>
  <c r="H35" i="1"/>
  <c r="D98" i="1" s="1"/>
  <c r="F98" i="1" s="1"/>
  <c r="A99" i="1" s="1"/>
  <c r="F42" i="3"/>
  <c r="E55" i="1" s="1"/>
  <c r="F55" i="1" s="1"/>
  <c r="F57" i="3"/>
  <c r="E70" i="1" s="1"/>
  <c r="F70" i="1" s="1"/>
  <c r="F35" i="3"/>
  <c r="E48" i="1" s="1"/>
  <c r="F48" i="1" s="1"/>
  <c r="F43" i="3"/>
  <c r="E56" i="1" s="1"/>
  <c r="F56" i="1" s="1"/>
  <c r="F51" i="3"/>
  <c r="E64" i="1" s="1"/>
  <c r="F64" i="1" s="1"/>
  <c r="A3" i="1"/>
  <c r="N25" i="3"/>
  <c r="F26" i="3"/>
  <c r="E39" i="1" s="1"/>
  <c r="F39" i="1" s="1"/>
  <c r="F15" i="3"/>
  <c r="E27" i="1" s="1"/>
  <c r="F27" i="1" s="1"/>
  <c r="Z25" i="3"/>
  <c r="H25" i="3"/>
  <c r="Z24" i="3"/>
  <c r="T24" i="3"/>
  <c r="H24" i="3"/>
  <c r="H90" i="1"/>
  <c r="B98" i="1" s="1"/>
  <c r="J17" i="1"/>
  <c r="F8" i="3"/>
  <c r="E20" i="1" s="1"/>
  <c r="F20" i="1" s="1"/>
  <c r="Y9" i="3"/>
  <c r="F9" i="3" s="1"/>
  <c r="E21" i="1" s="1"/>
  <c r="F21" i="1" s="1"/>
  <c r="F14" i="3"/>
  <c r="E26" i="1" s="1"/>
  <c r="F26" i="1" s="1"/>
  <c r="F10" i="3"/>
  <c r="F23" i="3"/>
  <c r="E32" i="1" s="1"/>
  <c r="F32" i="1" s="1"/>
  <c r="F33" i="3"/>
  <c r="E46" i="1" s="1"/>
  <c r="F46" i="1" s="1"/>
  <c r="C68" i="4"/>
  <c r="F12" i="3"/>
  <c r="E24" i="1" s="1"/>
  <c r="F24" i="1" s="1"/>
  <c r="F30" i="3"/>
  <c r="E43" i="1" s="1"/>
  <c r="F43" i="1" s="1"/>
  <c r="F49" i="3"/>
  <c r="E62" i="1" s="1"/>
  <c r="F62" i="1" s="1"/>
  <c r="F64" i="3"/>
  <c r="E77" i="1" s="1"/>
  <c r="F77" i="1" s="1"/>
  <c r="F69" i="3"/>
  <c r="E82" i="1" s="1"/>
  <c r="F82" i="1" s="1"/>
  <c r="F72" i="3"/>
  <c r="E85" i="1" s="1"/>
  <c r="F85" i="1" s="1"/>
  <c r="F76" i="3"/>
  <c r="E89" i="1" s="1"/>
  <c r="F89" i="1" s="1"/>
  <c r="F18" i="3"/>
  <c r="E30" i="1" s="1"/>
  <c r="F30" i="1" s="1"/>
  <c r="F34" i="3"/>
  <c r="E47" i="1" s="1"/>
  <c r="F47" i="1" s="1"/>
  <c r="F38" i="3"/>
  <c r="E51" i="1" s="1"/>
  <c r="F51" i="1" s="1"/>
  <c r="F70" i="3"/>
  <c r="E83" i="1" s="1"/>
  <c r="F83" i="1" s="1"/>
  <c r="Y11" i="3"/>
  <c r="F11" i="3" s="1"/>
  <c r="E23" i="1" s="1"/>
  <c r="F23" i="1" s="1"/>
  <c r="A107" i="1" l="1"/>
  <c r="F90" i="1"/>
  <c r="B106" i="1" s="1"/>
  <c r="F106" i="1"/>
  <c r="F66" i="1"/>
  <c r="E22" i="1"/>
  <c r="F22" i="1" s="1"/>
  <c r="F35" i="1" s="1"/>
  <c r="D1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Brünisholz-Möri Eveline</author>
    <author>tc={42A3BDED-C7AB-4082-B75C-80E11CED6DA5}</author>
  </authors>
  <commentList>
    <comment ref="AF15" authorId="0" shapeId="0" xr:uid="{00000000-0006-0000-0200-000001000000}">
      <text>
        <r>
          <rPr>
            <b/>
            <sz val="9"/>
            <color indexed="81"/>
            <rFont val="Tahoma"/>
            <family val="2"/>
          </rPr>
          <t>Brünisholz-Möri Eveline:</t>
        </r>
        <r>
          <rPr>
            <sz val="9"/>
            <color indexed="81"/>
            <rFont val="Tahoma"/>
            <family val="2"/>
          </rPr>
          <t xml:space="preserve">
Einzelkulturbeitrag korrigiert: neu bei 2'100.-</t>
        </r>
      </text>
    </comment>
    <comment ref="Y16" authorId="0" shapeId="0" xr:uid="{00000000-0006-0000-0200-000002000000}">
      <text>
        <r>
          <rPr>
            <b/>
            <sz val="9"/>
            <color indexed="81"/>
            <rFont val="Segoe UI"/>
            <charset val="1"/>
          </rPr>
          <t>Brünisholz-Möri Eveline:</t>
        </r>
        <r>
          <rPr>
            <sz val="9"/>
            <color indexed="81"/>
            <rFont val="Segoe UI"/>
            <charset val="1"/>
          </rPr>
          <t xml:space="preserve">
Freilandgemüse gibt es im DB-Katalog nicht mehr, daher wurde hier noch die Zaheln vom 2013 übernommen. </t>
        </r>
      </text>
    </comment>
    <comment ref="J17" authorId="0" shapeId="0" xr:uid="{00000000-0006-0000-0200-000003000000}">
      <text>
        <r>
          <rPr>
            <b/>
            <sz val="9"/>
            <color indexed="81"/>
            <rFont val="Tahoma"/>
            <family val="2"/>
          </rPr>
          <t>Brünisholz-Möri Eveline:</t>
        </r>
        <r>
          <rPr>
            <sz val="9"/>
            <color indexed="81"/>
            <rFont val="Tahoma"/>
            <family val="2"/>
          </rPr>
          <t xml:space="preserve">
DB Katalog 50'181
Hat somit eine Differenz!!!</t>
        </r>
      </text>
    </comment>
    <comment ref="N29" authorId="1" shapeId="0" xr:uid="{42A3BDED-C7AB-4082-B75C-80E11CED6DA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Vêlage à 26 mois à partir de 2021!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Müller Marcel</author>
  </authors>
  <commentList>
    <comment ref="C65" authorId="0" shapeId="0" xr:uid="{00000000-0006-0000-0300-000001000000}">
      <text>
        <r>
          <rPr>
            <b/>
            <sz val="9"/>
            <color indexed="81"/>
            <rFont val="Tahoma"/>
            <family val="2"/>
          </rPr>
          <t>Müller Marcel:</t>
        </r>
        <r>
          <rPr>
            <sz val="9"/>
            <color indexed="81"/>
            <rFont val="Tahoma"/>
            <family val="2"/>
          </rPr>
          <t xml:space="preserve">
Kein Futterverkauf?</t>
        </r>
      </text>
    </comment>
    <comment ref="C112" authorId="0" shapeId="0" xr:uid="{00000000-0006-0000-0300-000002000000}">
      <text>
        <r>
          <rPr>
            <b/>
            <sz val="9"/>
            <color indexed="81"/>
            <rFont val="Tahoma"/>
            <family val="2"/>
          </rPr>
          <t>Müller Marcel:</t>
        </r>
        <r>
          <rPr>
            <sz val="9"/>
            <color indexed="81"/>
            <rFont val="Tahoma"/>
            <family val="2"/>
          </rPr>
          <t xml:space="preserve">
In FR Sagri z.t Anzahl gegeben, hier nicht und nicht bei allen</t>
        </r>
      </text>
    </comment>
    <comment ref="D115" authorId="0" shapeId="0" xr:uid="{00000000-0006-0000-0300-000003000000}">
      <text>
        <r>
          <rPr>
            <b/>
            <sz val="9"/>
            <color indexed="81"/>
            <rFont val="Tahoma"/>
            <family val="2"/>
          </rPr>
          <t>Müller Marcel:</t>
        </r>
        <r>
          <rPr>
            <sz val="9"/>
            <color indexed="81"/>
            <rFont val="Tahoma"/>
            <family val="2"/>
          </rPr>
          <t xml:space="preserve">
Aufzucht keine Stkzahl?</t>
        </r>
      </text>
    </comment>
    <comment ref="D117" authorId="0" shapeId="0" xr:uid="{00000000-0006-0000-0300-000004000000}">
      <text>
        <r>
          <rPr>
            <b/>
            <sz val="9"/>
            <color indexed="81"/>
            <rFont val="Tahoma"/>
            <family val="2"/>
          </rPr>
          <t>Müller Marcel:</t>
        </r>
        <r>
          <rPr>
            <sz val="9"/>
            <color indexed="81"/>
            <rFont val="Tahoma"/>
            <family val="2"/>
          </rPr>
          <t xml:space="preserve">
Plätze oder Stk. Pro m2?</t>
        </r>
      </text>
    </comment>
    <comment ref="C139" authorId="0" shapeId="0" xr:uid="{00000000-0006-0000-0300-000005000000}">
      <text>
        <r>
          <rPr>
            <b/>
            <sz val="9"/>
            <color indexed="81"/>
            <rFont val="Tahoma"/>
            <family val="2"/>
          </rPr>
          <t>Müller Marcel:</t>
        </r>
        <r>
          <rPr>
            <sz val="9"/>
            <color indexed="81"/>
            <rFont val="Tahoma"/>
            <family val="2"/>
          </rPr>
          <t xml:space="preserve">
Einfluss?</t>
        </r>
      </text>
    </comment>
    <comment ref="C164" authorId="0" shapeId="0" xr:uid="{00000000-0006-0000-0300-000006000000}">
      <text>
        <r>
          <rPr>
            <b/>
            <sz val="9"/>
            <color indexed="81"/>
            <rFont val="Tahoma"/>
            <family val="2"/>
          </rPr>
          <t>Müller Marcel:</t>
        </r>
        <r>
          <rPr>
            <sz val="9"/>
            <color indexed="81"/>
            <rFont val="Tahoma"/>
            <family val="2"/>
          </rPr>
          <t xml:space="preserve">
Auf deutsch: inkl. Aufstockung</t>
        </r>
      </text>
    </comment>
    <comment ref="C189" authorId="0" shapeId="0" xr:uid="{00000000-0006-0000-0300-000007000000}">
      <text>
        <r>
          <rPr>
            <b/>
            <sz val="9"/>
            <color indexed="81"/>
            <rFont val="Tahoma"/>
            <family val="2"/>
          </rPr>
          <t>Müller Marcel:</t>
        </r>
        <r>
          <rPr>
            <sz val="9"/>
            <color indexed="81"/>
            <rFont val="Tahoma"/>
            <family val="2"/>
          </rPr>
          <t xml:space="preserve">
SPB?</t>
        </r>
      </text>
    </comment>
    <comment ref="C214" authorId="0" shapeId="0" xr:uid="{00000000-0006-0000-0300-000008000000}">
      <text>
        <r>
          <rPr>
            <b/>
            <sz val="9"/>
            <color indexed="81"/>
            <rFont val="Tahoma"/>
            <family val="2"/>
          </rPr>
          <t>Müller Marcel:</t>
        </r>
        <r>
          <rPr>
            <sz val="9"/>
            <color indexed="81"/>
            <rFont val="Tahoma"/>
            <family val="2"/>
          </rPr>
          <t xml:space="preserve">
PN, PA, ME, FG,  pas utiliser</t>
        </r>
      </text>
    </comment>
    <comment ref="C216" authorId="0" shapeId="0" xr:uid="{00000000-0006-0000-0300-000009000000}">
      <text>
        <r>
          <rPr>
            <b/>
            <sz val="9"/>
            <color indexed="81"/>
            <rFont val="Tahoma"/>
            <family val="2"/>
          </rPr>
          <t>Müller Marcel:</t>
        </r>
        <r>
          <rPr>
            <sz val="9"/>
            <color indexed="81"/>
            <rFont val="Tahoma"/>
            <family val="2"/>
          </rPr>
          <t xml:space="preserve">
1-3) ne sont pas utiliser dans le FR SAgri</t>
        </r>
      </text>
    </comment>
  </commentList>
</comments>
</file>

<file path=xl/sharedStrings.xml><?xml version="1.0" encoding="utf-8"?>
<sst xmlns="http://schemas.openxmlformats.org/spreadsheetml/2006/main" count="570" uniqueCount="419">
  <si>
    <t>Cultures</t>
  </si>
  <si>
    <t>MB totale</t>
  </si>
  <si>
    <t>Fr. / ha</t>
  </si>
  <si>
    <t>Fr.</t>
  </si>
  <si>
    <t>dt MS</t>
  </si>
  <si>
    <t>MB</t>
  </si>
  <si>
    <t>Appréciation</t>
  </si>
  <si>
    <t xml:space="preserve">à la MB de la production hors sol. </t>
  </si>
  <si>
    <t xml:space="preserve">A MB supérieure, les exceptions de l'art.36 al.3 de l'OAT s'appliquent: le taux de couverture nécessaire de la MS n'est plus de 70% mais de 50%. </t>
  </si>
  <si>
    <t xml:space="preserve">Selon le présent calcul l'exploitation peut produire, par le développement interne de </t>
  </si>
  <si>
    <t>(places )</t>
  </si>
  <si>
    <t>de la MS nécessaire.</t>
  </si>
  <si>
    <t xml:space="preserve">Lieu et date: </t>
  </si>
  <si>
    <t>Instruction</t>
  </si>
  <si>
    <t xml:space="preserve">Les données de l'exploitation doivent être apposées dans les cellules grisées. </t>
  </si>
  <si>
    <t>Abréviations</t>
  </si>
  <si>
    <t>Valable: version provisoire</t>
  </si>
  <si>
    <t>-</t>
  </si>
  <si>
    <t>Prairies intensives</t>
  </si>
  <si>
    <t>Prairies SPB peu intensives</t>
  </si>
  <si>
    <t>Prairies SPB extensives</t>
  </si>
  <si>
    <t>Betteraves, maïs, pommes de terre</t>
  </si>
  <si>
    <t>Légumes</t>
  </si>
  <si>
    <t>Cultures pérennes</t>
  </si>
  <si>
    <t>Tabac</t>
  </si>
  <si>
    <t>Bilan de la MS</t>
  </si>
  <si>
    <t>Selon le présent calcul, la MB tributaire du sol est:</t>
  </si>
  <si>
    <t>………………………………………………………………………………………………</t>
  </si>
  <si>
    <t>…………………………………………………………………………………………</t>
  </si>
  <si>
    <t>Les valeurs unitaires liées au tableau référant annexe ne peuvent pas être changées manuellement.</t>
  </si>
  <si>
    <t>Céréales, protéagineux, oléagineux</t>
  </si>
  <si>
    <t>Jachère florale ou tournante</t>
  </si>
  <si>
    <t>Vache laitière, 6000 kg, zone non ensilage</t>
  </si>
  <si>
    <t>Vache laitière, 8000 kg, zone non ensilage</t>
  </si>
  <si>
    <t>Vache allaitante, Natura-Beef</t>
  </si>
  <si>
    <t>Pas d'info. Au cas par cas</t>
  </si>
  <si>
    <t>Génisse portante, de propre cheptel (vêlage à 30 mois)</t>
  </si>
  <si>
    <t>Taureau, intensif</t>
  </si>
  <si>
    <t>Brebis laitière (base: lacaune)</t>
  </si>
  <si>
    <t>Agneaux</t>
  </si>
  <si>
    <t>Chèvre laitière</t>
  </si>
  <si>
    <t>Lait entier (sans lait commercialisé)</t>
  </si>
  <si>
    <t>Productions "développement interne"</t>
  </si>
  <si>
    <t>pot. MS [dt/ha]</t>
  </si>
  <si>
    <t>Positions, catégories
Matière sèche</t>
  </si>
  <si>
    <t>100% prairie permanente peu intensive, PER</t>
  </si>
  <si>
    <t>Valeurs de référence, méthode de calcul, remarques</t>
  </si>
  <si>
    <t>100% Jachère florale PER</t>
  </si>
  <si>
    <t>75% Prairie permanente intensive, PER int + 25% Prairie temporaire, PER int.</t>
  </si>
  <si>
    <t>75% Vente de foin, prairie perm. Intensive, PER int. + 25% Vente fourrage prairie temporaire, PER int.</t>
  </si>
  <si>
    <t>55% Blé d'automne classe top, PER intensif + 20% Orge d'automne PER intensif + 10% Colza PER int. + 8% Triticale PER intensif + 8% Pois protéagineux PER int.</t>
  </si>
  <si>
    <t>40% Pommes de table, sans prot. Grêle PER + 40% Vigne mi-haute, chasselas, VD, PER + 20% Fraises, culture à plat, PER</t>
  </si>
  <si>
    <t>50% Elevage, chevaux extensifs, Franches-Montages + 50% Chevaux en pension (cheval adulte, ~500 kg)</t>
  </si>
  <si>
    <t>Tableau 4 du Guide Suisse-Bilanz 2014</t>
  </si>
  <si>
    <t>Mémento agricole 2014 Agridea (p. 10 Fumure des grandes cultures, tirée de la Revue suisse d'agriculture n°41, 2009)</t>
  </si>
  <si>
    <t>ProfiCost Légumes, CCM - UMS, Editions 2014</t>
  </si>
  <si>
    <t>Rendement grain + paille + dérobée le cas échéant</t>
  </si>
  <si>
    <t>Rendement grain/racines/tubercules + paille + dérobée le cas échéant</t>
  </si>
  <si>
    <t>Catalogue des marges brutes Agridea 2013</t>
  </si>
  <si>
    <t>Prairies intensives, 5-6 utilisations &lt; 600 m.</t>
  </si>
  <si>
    <t>Prairies intensives, 4 utilisations, 600-1100 m.</t>
  </si>
  <si>
    <t>Prairies intensives, 5 utilisations, &lt; 700 m. (légère correction à la baisse à cause d'altitude un peu plus élevée et de prairies naturelles plus importantes)</t>
  </si>
  <si>
    <t>Prairies intensives, 3 utilisations, 1000-1500 m.</t>
  </si>
  <si>
    <t>Prairies intensives, 2 utilisations, &gt; 1400 m.</t>
  </si>
  <si>
    <t>Selon chiffres des praires peu intensives</t>
  </si>
  <si>
    <t>Selon chiffres des praires extensives</t>
  </si>
  <si>
    <t>Remarque: je n'arrive pas à un rendement de 50 dt MS sur la base des chiffres ci-dessus, contrairement à la tabelle KOLAS. Je peux encore regarder avec D. Ruggli (arboriculture IAG).</t>
  </si>
  <si>
    <t>30% Carottes (1x) + 25% Oignons (1x) + 18% Iceberg/Batavia (2x) + 16% Brocoli (2x) + 14% Doucette/rampon (2x)</t>
  </si>
  <si>
    <t>Positionen, Kategorien Trockensubstanz</t>
  </si>
  <si>
    <t>Kulturen</t>
  </si>
  <si>
    <t>Wiese, intensiv</t>
  </si>
  <si>
    <t xml:space="preserve">Wiese BFF, wenig intensiv </t>
  </si>
  <si>
    <t>Wiese BFF, extensiv</t>
  </si>
  <si>
    <t>Zuckerrüben, Mais, Kartoffeln</t>
  </si>
  <si>
    <t>Gemüse</t>
  </si>
  <si>
    <t>Getreide, Eiweiss-, Ölpflanzen</t>
  </si>
  <si>
    <t>Dauerkulturen</t>
  </si>
  <si>
    <t>Bunt- oder Rotationsbrache</t>
  </si>
  <si>
    <t>Tabak</t>
  </si>
  <si>
    <t>Jungvieh 1-2 Jahre</t>
  </si>
  <si>
    <t>Matsrinder &gt; 160 Tage</t>
  </si>
  <si>
    <t>Pferde &gt; 3 Jahre</t>
  </si>
  <si>
    <t>Pferde 1-3 Jahre</t>
  </si>
  <si>
    <t>Fohlen</t>
  </si>
  <si>
    <t>Andere Schafe &gt; 1 Jahr / Widder</t>
  </si>
  <si>
    <t xml:space="preserve">Milchkühe &lt; 7'000 kg </t>
  </si>
  <si>
    <t>Kälber 160 Tage - 1 Jahr</t>
  </si>
  <si>
    <t>Tränkekälber &lt; 160 Tage</t>
  </si>
  <si>
    <t>Ziegen &lt; 1 Jahr</t>
  </si>
  <si>
    <t>Maultiere, Esel, Ponys</t>
  </si>
  <si>
    <t>Lamas &lt; 2 Jahre</t>
  </si>
  <si>
    <t>Lamas &gt; 2 Jahre</t>
  </si>
  <si>
    <t>Alpakas &lt; 2 Jahre</t>
  </si>
  <si>
    <t>Alpakas &gt; 2 Jahre</t>
  </si>
  <si>
    <t>Mastschweine, Remonten &lt; 6 Monate</t>
  </si>
  <si>
    <t>Jager bis 25 kg</t>
  </si>
  <si>
    <t>Legehennen</t>
  </si>
  <si>
    <t>Truten (Jedes Alter)</t>
  </si>
  <si>
    <t>Mastkaninchen</t>
  </si>
  <si>
    <t>Grünland intensiv</t>
  </si>
  <si>
    <t>BFF wenig intensiv</t>
  </si>
  <si>
    <t>BFF extensiv</t>
  </si>
  <si>
    <t>Strasse:</t>
  </si>
  <si>
    <t>Betriebsnr.:</t>
  </si>
  <si>
    <t>Zone</t>
  </si>
  <si>
    <t>Titel</t>
  </si>
  <si>
    <t>MB / unité</t>
  </si>
  <si>
    <t>DB total</t>
  </si>
  <si>
    <t>Tiere</t>
  </si>
  <si>
    <t>Grundfutterverzehr</t>
  </si>
  <si>
    <t>Bedarf inkl. Aufstockung</t>
  </si>
  <si>
    <t>Beurteilung</t>
  </si>
  <si>
    <t>Gemäss obiger DB-Berechnung ist der bodenabhängige DB</t>
  </si>
  <si>
    <t>als der bodenunabhängige DB</t>
  </si>
  <si>
    <t>Ist der bodenabhängige DB grösser, so kommt die Ausnahmebestimmung gemäss Art. 36 Abs. 3 RPV zur Anwendung: der TS - Deckungsbeitrag muss nicht 70% sondern nur 50% ausmachen.</t>
  </si>
  <si>
    <t>Gemäss obiger TS-Berechnung kann der Betrieb mit der inneren Aufstockung von</t>
  </si>
  <si>
    <t>des TS-Bedarfs selber produzieren.</t>
  </si>
  <si>
    <t>Ort und Datum:</t>
  </si>
  <si>
    <t>Anleitung</t>
  </si>
  <si>
    <t>In den grauen Zellen sind die entsprechenden Betriebsdaten einzutragen</t>
  </si>
  <si>
    <t>Die Einheitswerte können nicht verändert werden.</t>
  </si>
  <si>
    <t>Abkürzungen</t>
  </si>
  <si>
    <t>Fische (pro Tonnen jährlich)</t>
  </si>
  <si>
    <t>Junghennen, -hähne u. Küken</t>
  </si>
  <si>
    <t>Zuchthennen</t>
  </si>
  <si>
    <t>Deck- u. Wartebetrieb in AFP 2 stufig</t>
  </si>
  <si>
    <t>Abferkel - u. Aufzuchtb. in AFP 2 stufig</t>
  </si>
  <si>
    <t>Zuchteber</t>
  </si>
  <si>
    <t>Säug. Zuchtschweine inkl. Ferkel (ges. Kreislauf)</t>
  </si>
  <si>
    <t>Raufutterverzehrer</t>
  </si>
  <si>
    <r>
      <t>Rendement pondéré basé sur les 5 productions en plein champ les plus importantes du Canton de Fribourg (</t>
    </r>
    <r>
      <rPr>
        <u/>
        <sz val="10"/>
        <color indexed="8"/>
        <rFont val="Calibri"/>
        <family val="2"/>
      </rPr>
      <t>Statistischer Jahresbericht Gemüse 2012 - SZG Koppigen</t>
    </r>
    <r>
      <rPr>
        <sz val="10"/>
        <color indexed="8"/>
        <rFont val="Calibri"/>
        <family val="2"/>
      </rPr>
      <t>)</t>
    </r>
  </si>
  <si>
    <t>Français</t>
  </si>
  <si>
    <t>Deutsch</t>
  </si>
  <si>
    <t>Mastkalb (Pulver, Buttermilch)</t>
  </si>
  <si>
    <t>Interne Aufstockung (bodenunabhängig)</t>
  </si>
  <si>
    <t>Höhe ü. M.:</t>
  </si>
  <si>
    <t>Potential in TS Total</t>
  </si>
  <si>
    <t>Total</t>
  </si>
  <si>
    <t>zone prépondérante 31</t>
  </si>
  <si>
    <t>zone prépondérante 41</t>
  </si>
  <si>
    <t>zone prépondérante 51</t>
  </si>
  <si>
    <t>zone prépondérante 52</t>
  </si>
  <si>
    <t>zone prépondérante 53</t>
  </si>
  <si>
    <t>&lt;- ausgewählte Sprache</t>
  </si>
  <si>
    <t>&lt;- ausgewählte Zone</t>
  </si>
  <si>
    <t>Sprache</t>
  </si>
  <si>
    <t>Zone 31</t>
  </si>
  <si>
    <t>Zone 41</t>
  </si>
  <si>
    <t>Zone 51</t>
  </si>
  <si>
    <t>Zone 52</t>
  </si>
  <si>
    <t>Zone 53</t>
  </si>
  <si>
    <t/>
  </si>
  <si>
    <t xml:space="preserve">Milchkühe  ≥ 7'000 kg </t>
  </si>
  <si>
    <t>Potential in TS / Einheit</t>
  </si>
  <si>
    <t>DB / Einheit</t>
  </si>
  <si>
    <t>dt TS / ha</t>
  </si>
  <si>
    <t xml:space="preserve">dt TS </t>
  </si>
  <si>
    <t>Vaches laitières &lt; 7000 kg</t>
  </si>
  <si>
    <t>Vaches allaitantes y c. veau</t>
  </si>
  <si>
    <t>Veaux 160 jours - 1 an</t>
  </si>
  <si>
    <t>Veaux &lt; 160 jours</t>
  </si>
  <si>
    <t>Bovins d'engraissement &gt;160 jours</t>
  </si>
  <si>
    <t>Veaux à l'engrais (lait entier)</t>
  </si>
  <si>
    <t>Chevaux &gt; 3 ans (toute utilisation)</t>
  </si>
  <si>
    <t>Chevaux 1-3 ans (toute utilisation)</t>
  </si>
  <si>
    <t>Brebis traites</t>
  </si>
  <si>
    <t>Poulains</t>
  </si>
  <si>
    <t>Autres moutons &gt;1 an / bélier</t>
  </si>
  <si>
    <t>Agneaux &lt; 1 an</t>
  </si>
  <si>
    <t xml:space="preserve">Chèvres traites </t>
  </si>
  <si>
    <t>Chevreaux &lt; 1 an</t>
  </si>
  <si>
    <t>Buffles d'Asie</t>
  </si>
  <si>
    <t>Lamas &lt; 2 ans</t>
  </si>
  <si>
    <t>Lamas &gt; 2 ans</t>
  </si>
  <si>
    <t>Alpagas &lt; 2 ans</t>
  </si>
  <si>
    <t>Alpagas &gt; 2ans</t>
  </si>
  <si>
    <t xml:space="preserve">Veaux engr. poudre, babeurre </t>
  </si>
  <si>
    <t>Truies  y. c. porcelets (cycle complet)</t>
  </si>
  <si>
    <t>Porcs à l'engrais, remontes &lt; 6 mois</t>
  </si>
  <si>
    <t>Verrat</t>
  </si>
  <si>
    <t>Porcelets sevrés jusqu'à 25 kg</t>
  </si>
  <si>
    <t>Exploitation mise bas, élevage (ring)</t>
  </si>
  <si>
    <t>Exploitation de saillie et portantes (ring)</t>
  </si>
  <si>
    <t>Pondeuses</t>
  </si>
  <si>
    <t>Poulettes d'élevage, coquelets</t>
  </si>
  <si>
    <t>Poules d'élevage</t>
  </si>
  <si>
    <t>Poissons (par tonne et année)</t>
  </si>
  <si>
    <t>Lapines y c. lapereaux</t>
  </si>
  <si>
    <t>Lapins d'engraissement</t>
  </si>
  <si>
    <t>Lämmer &lt; 1 Jahr</t>
  </si>
  <si>
    <t>Milchziegen</t>
  </si>
  <si>
    <t>Damhirsche</t>
  </si>
  <si>
    <t>Rothirsche</t>
  </si>
  <si>
    <t>Dindes d'élevage (12 pl. /m2)</t>
  </si>
  <si>
    <t>Dindes d'engraissement (4 pl. / m2)</t>
  </si>
  <si>
    <t>Zibben inkl. Remonte</t>
  </si>
  <si>
    <t>Tributaire du sol</t>
  </si>
  <si>
    <t>Hors sol</t>
  </si>
  <si>
    <t>Bodenabhängig</t>
  </si>
  <si>
    <t>Bodenunabhängig</t>
  </si>
  <si>
    <t>Altitude:</t>
  </si>
  <si>
    <t>No. Exploit.:</t>
  </si>
  <si>
    <t>Courriel:</t>
  </si>
  <si>
    <t>Zone prépon.:</t>
  </si>
  <si>
    <t>Potentiel en MS par unité</t>
  </si>
  <si>
    <t>Places</t>
  </si>
  <si>
    <t>Plätze</t>
  </si>
  <si>
    <t>Consomation de fourrage de base</t>
  </si>
  <si>
    <t>DB = Deckungsbeitrag; TS = Trockensubstanz; BFF = Biodiversitätsförderflächen, AFP = Arbeitsteilung Ferkelproduktion</t>
  </si>
  <si>
    <t xml:space="preserve">MB = marge brute; MS = matière sèche;  cercle = parrtage du travail en production de porcelets; SPB = surfaces de promotion de la biodiversité </t>
  </si>
  <si>
    <t>Wasserbüffel</t>
  </si>
  <si>
    <t>Taux de couverture MS</t>
  </si>
  <si>
    <t>Potentiel de MS</t>
  </si>
  <si>
    <t>Besoin total y c. développement interne</t>
  </si>
  <si>
    <t>(Plätze)</t>
  </si>
  <si>
    <t>Unterschrift</t>
  </si>
  <si>
    <t xml:space="preserve">Signature: </t>
  </si>
  <si>
    <t>Das Resultat zeigt einen TS Deckungsgrad zwischen 50-70%, massgebend ist nun der Vergleich zwischen dem bodenunabhängigen und dem bodenabhängigen Deckungsbeitrag.</t>
  </si>
  <si>
    <t>Le taux de couverture des besoins en matière sèche se situant entre 50 et 70%, la comparaison des marges brutes des productions dépendantes et indépendantes du sol doit être effectuée.</t>
  </si>
  <si>
    <r>
      <t xml:space="preserve">Vaches laitières </t>
    </r>
    <r>
      <rPr>
        <sz val="10"/>
        <color indexed="8"/>
        <rFont val="Calibri"/>
        <family val="2"/>
      </rPr>
      <t>≥</t>
    </r>
    <r>
      <rPr>
        <sz val="10"/>
        <color indexed="8"/>
        <rFont val="Calibri"/>
        <family val="2"/>
      </rPr>
      <t xml:space="preserve"> 7000 kg</t>
    </r>
  </si>
  <si>
    <t>Besoin en MS total</t>
  </si>
  <si>
    <t>Bedarf TS Total</t>
  </si>
  <si>
    <t>Besoin en MS par unité</t>
  </si>
  <si>
    <t>Bedarf TS / Einheit</t>
  </si>
  <si>
    <t>Animaux</t>
  </si>
  <si>
    <t>Autres chèvres &gt; 1 an / Bouc</t>
  </si>
  <si>
    <t>Andere Ziegen &gt; 1 Jahr / Bock</t>
  </si>
  <si>
    <t>Daims</t>
  </si>
  <si>
    <t>Cerfs rouges</t>
  </si>
  <si>
    <t>Mulets / ânes / poneys</t>
  </si>
  <si>
    <t>Betriebsform</t>
  </si>
  <si>
    <t>Résultats</t>
  </si>
  <si>
    <t>Resultate</t>
  </si>
  <si>
    <t>Pour les productions dont les marges brutes ne comprennent aucune indication, le requérant devra apporter les chiffres planifiés et leur justification.</t>
  </si>
  <si>
    <t>SAU</t>
  </si>
  <si>
    <t>LN</t>
  </si>
  <si>
    <t>Gültigkeit: provisorisch</t>
  </si>
  <si>
    <t>Mutterkühe mit Kalb</t>
  </si>
  <si>
    <t>MB en frs.</t>
  </si>
  <si>
    <t>DB in Fr.</t>
  </si>
  <si>
    <t>31 Talzone</t>
  </si>
  <si>
    <t>41 Hügelzone</t>
  </si>
  <si>
    <t>51 Bergzone 1</t>
  </si>
  <si>
    <t>52 Bergzone 2</t>
  </si>
  <si>
    <t>53 Bergzone 3</t>
  </si>
  <si>
    <t>51 Zone de montagne 1</t>
  </si>
  <si>
    <t>52 Zone de montagne 2</t>
  </si>
  <si>
    <t>53 Zone de montagne 3</t>
  </si>
  <si>
    <t>Graue Zellen = Formeln</t>
  </si>
  <si>
    <t>Le critère est rempli, car la marge brute des productions dépendantes du sol est supérieure à la marge brute des productions indépendantes du sol.</t>
  </si>
  <si>
    <t>Le critère n'est pas rempli, car le taux de couverture des besoins en matière sèche est inférieur à 50%.</t>
  </si>
  <si>
    <t>Wiese, intensiv, Futterverkauf</t>
  </si>
  <si>
    <t>Wiese BFF, wenig intensiv, Futterverkauf</t>
  </si>
  <si>
    <t>Wiese BFF, extensiv, Futterverkauf</t>
  </si>
  <si>
    <t>Prairies intensives, vente de fourrages</t>
  </si>
  <si>
    <t>Prairies SPB peu intensives, vente de fourrages</t>
  </si>
  <si>
    <t>Prairies SPB extensives, vente de fourrages</t>
  </si>
  <si>
    <t>ha</t>
  </si>
  <si>
    <t>Die Bedingungen sind erfüllt, der bodenabhängige Deckungsbeitrag ist grösser als der bodenunabhängige Deckungsbeitrag.</t>
  </si>
  <si>
    <t>Die Bedingungen sind nicht erfüllt, der TS Deckungsgrad ist kleiner als 50%</t>
  </si>
  <si>
    <t>Le critère n'est pas rempli, car la marge brute des productions dépendantes du sol est inférieur à la marge brute des productions indépendantes du sol.</t>
  </si>
  <si>
    <t>Die Bedingungen sind nicht erfüllt, der bodenabhängige Deckungsbeitrag ist kleiner als der bodenunabhängige Deckungsbeitrag.</t>
  </si>
  <si>
    <t>Exploitation simple</t>
  </si>
  <si>
    <t>Association / 1 exploitation</t>
  </si>
  <si>
    <t>Communauté partielle</t>
  </si>
  <si>
    <t>Communauté complète</t>
  </si>
  <si>
    <t>Einzelbetrieb</t>
  </si>
  <si>
    <t>Gemeinschaft / 1 Betrieb</t>
  </si>
  <si>
    <t>Betriebszweiggemeinschaft</t>
  </si>
  <si>
    <t>Betriebsgemeinschaft</t>
  </si>
  <si>
    <t>31 Zone de plaine</t>
  </si>
  <si>
    <t>41 Zone des collines</t>
  </si>
  <si>
    <t>Colonne reportée sur onglet FR SAgri IAG</t>
  </si>
  <si>
    <t>Données reportées sur FR SAgri IAG</t>
  </si>
  <si>
    <t>Données à actualiser en fonction des besoins</t>
  </si>
  <si>
    <t>Anteil des bodenabhängigen DB am Gesamt-DB</t>
  </si>
  <si>
    <t>Dt TS</t>
  </si>
  <si>
    <t>Bases de calcul et sources d'information</t>
  </si>
  <si>
    <t>Termes en français</t>
  </si>
  <si>
    <t>Wörter auf Deutsch</t>
  </si>
  <si>
    <t>Mastpoulet (15 Plätze/m2)</t>
  </si>
  <si>
    <t>Aufzuchttruten (12 Plätze/m2)</t>
  </si>
  <si>
    <t>Trutenausmast (4 Plätze/m2)</t>
  </si>
  <si>
    <t>Dindes (tout âge)</t>
  </si>
  <si>
    <t>Tél. fixe</t>
  </si>
  <si>
    <t>Tel.</t>
  </si>
  <si>
    <t>Tél mobile:</t>
  </si>
  <si>
    <t>Tel. Handy:</t>
  </si>
  <si>
    <t>Nom, prénom:</t>
  </si>
  <si>
    <t>Ferme / rue:</t>
  </si>
  <si>
    <t>PLZ / Ort:</t>
  </si>
  <si>
    <t>E-Mail:</t>
  </si>
  <si>
    <t>Zone:</t>
  </si>
  <si>
    <t>Name, Vorname:</t>
  </si>
  <si>
    <t>Forme d'exploitation:</t>
  </si>
  <si>
    <t>Betriebsform:</t>
  </si>
  <si>
    <t>Autres surfaces SAU (haies, litière,…)</t>
  </si>
  <si>
    <t>Andere LN-Fläche (Hecken, Streueflächen)</t>
  </si>
  <si>
    <t>Jachère</t>
  </si>
  <si>
    <t>Autres SAU (haies, litières)</t>
  </si>
  <si>
    <t>Mastkälber (Vollmilch / Kombi)</t>
  </si>
  <si>
    <t>Milchschafe</t>
  </si>
  <si>
    <t>Poulets 825 m2 (12'000). Par rapport au catalogue Agridea, il ne faut pas tenir compte des coûts d'équipement et de bâtiment. Agridea le fait pour la volaille, mais pas pour les autres productions. Ce n'est pas logique au niveau de la MB.</t>
  </si>
  <si>
    <t>Poulettes d'élevages (12'000). Par rapport au catalogue Agridea, il ne faut pas tenir compte des coûts d'équipement et de bâtiment. Agridea le fait pour la volaille, mais pas pour les autres productions. Ce n'est pas logique au niveau de la MB.</t>
  </si>
  <si>
    <t>12'000 places, SST, Blanches. Par rapport au catalogue Agridea, il ne faut pas tenir compte des coûts d'équipement et de bâtiment. Agridea le fait pour la volaille, mais pas pour les autres productions. Ce n'est pas logique au niveau de la MB.</t>
  </si>
  <si>
    <t>65dt x 25.- ajoutés à la MB de la même prairie sans vente</t>
  </si>
  <si>
    <t>30dt x 20.- ajoutés à la MB de la même prairie sans vente</t>
  </si>
  <si>
    <t>100% prairie extensive, PER</t>
  </si>
  <si>
    <t>Maïs affouragé et betteraves fourragères</t>
  </si>
  <si>
    <t>Génisses en pension (durée 24 mois)</t>
  </si>
  <si>
    <t>Maïs affouragé / betteraves fourragères (vente)</t>
  </si>
  <si>
    <t>Futterhackfrüchte (Verkauf)</t>
  </si>
  <si>
    <t>MB, moyenne</t>
  </si>
  <si>
    <t>Sarclées fourragères</t>
  </si>
  <si>
    <t>Betteraves sucrières, maïs grain, pdt</t>
  </si>
  <si>
    <t>Aufzuchtrinder (Pensionsdauer: 24 Monate)</t>
  </si>
  <si>
    <t>Futterhackfrüchte (Mais, Rüben)</t>
  </si>
  <si>
    <t>Maïs grain, betteraves sucrières, patates</t>
  </si>
  <si>
    <t>Körnermais, Zuckerrüben, Kartoffeln</t>
  </si>
  <si>
    <t>40% Betteraves sucrières, PER int. + 36% Pommes de terre consommation, PER int. + 24% Maïs grain PER int.</t>
  </si>
  <si>
    <t>La répartition des surfaces se base sur l'Annuaire statistique du canton de Fribourg 2014 (07 Agriculture et sylviculture, p. 181)</t>
  </si>
  <si>
    <t>100% Tabac Burley, PER</t>
  </si>
  <si>
    <t xml:space="preserve"> </t>
  </si>
  <si>
    <t>Freilandgemüse</t>
  </si>
  <si>
    <t>Légumes en plein champ</t>
  </si>
  <si>
    <t>80% Maïs ensilage PER int. Départ champ (déduire la vente du maïs ensilage); 20% Betteraves fourragère PER int. (déduire la vente des betteraves fourragères)</t>
  </si>
  <si>
    <t>80% Maïs ensilage PER int. départ champ; 20% Betteraves fourragère PER int.</t>
  </si>
  <si>
    <t>30% Carottes (1x) + 25% Oignons (1x) + 18% Iceberg/Batavia (2x) + 16% Brocoli (2x) + 14% Doucette/rampon (2x) (Catalogue ProfiCost)</t>
  </si>
  <si>
    <t>Source et provenance des différentes valeurs</t>
  </si>
  <si>
    <t>dont vente de fourrage</t>
  </si>
  <si>
    <t>Bétail consom. du fourrage grossier</t>
  </si>
  <si>
    <t>Contrat d'élevage (vélâge précoce, 26mois) /22*12 --&gt;= 1Jahr</t>
  </si>
  <si>
    <t>Daim</t>
  </si>
  <si>
    <t>Cerf</t>
  </si>
  <si>
    <t>Engraissement aux sous-produits du lait (SRPA déduite)</t>
  </si>
  <si>
    <t>Aliment complet, 850 g GMQ (SRPA déduite)</t>
  </si>
  <si>
    <t>Aliment complet (SRPA déduite)</t>
  </si>
  <si>
    <t xml:space="preserve">dt MS </t>
  </si>
  <si>
    <t>dt MS / ha</t>
  </si>
  <si>
    <t>Potentiel total en MS</t>
  </si>
  <si>
    <t>Nombres*</t>
  </si>
  <si>
    <t>Anzahl*</t>
  </si>
  <si>
    <t>*) Si estivage =&gt; indiquer le nombre de bêtes estivées après la virgule ( 25.05 signifie : 5 des 25 bêtes vont en estivage)</t>
  </si>
  <si>
    <t>*) bei Sömmerung =&gt; Anzahl gesömmerte Tiere nach dem Komma angeben (25.05 bedeutet: 5 der 25 Tiere werden gesömmert)</t>
  </si>
  <si>
    <t>Jungvieh &gt; 2 Jahre</t>
  </si>
  <si>
    <t>Poulets d'engraissement (15 pl. /m2)</t>
  </si>
  <si>
    <t>Le critère est rempli, car le taux de couverture des besoins en matière sèche est supérieur à 70%. Le critère de la marge brute n'est pas déterminant dans le cas précis.</t>
  </si>
  <si>
    <t>Die Bedingungen sind erfüllt, der TS Deckungsgrad ist grösser als 70%. Der Vergleich zwischen dem bodenunabhängigen und dem bodenabhängigen Deckungsbeitrat ist nicht relevant.</t>
  </si>
  <si>
    <t>Bovins d'élevage &gt; 2 ans</t>
  </si>
  <si>
    <t>Bovins d'élevage 1-2 ans</t>
  </si>
  <si>
    <t>Développement interne dans le domaine de la garde des animaux de rente
Calculation "marge brute / matière sèche" selon art. 36 OAT</t>
  </si>
  <si>
    <t>Innere Aufstockung Tierhaltung
Kalkulation "Deckungsbeitrag / Trockensubstanz" gemäss Art. 36 RPV</t>
  </si>
  <si>
    <t>Part de la MB tributaire du sol sur la MB totale</t>
  </si>
  <si>
    <t>NP / localité:</t>
  </si>
  <si>
    <t xml:space="preserve">MB = marge brute; MS = matière sèche;  ring = partage du travail en production de porcelets; SPB = surfaces de promotion de la biodiversité </t>
  </si>
  <si>
    <t>Excédent (+) ou manque (-) de fourrage (test de plausibilité)</t>
  </si>
  <si>
    <t>Überschuss (+) oder Manko (-) von Raufutter (Plausibilitätstest)</t>
  </si>
  <si>
    <t>Le critère de la marge brute n'est pas déterminant dans ce cas précis, les besoins en matière sèche étant couverts à plus de 70%.</t>
  </si>
  <si>
    <t>Comparaison des MB</t>
  </si>
  <si>
    <t>Le critère de la marge brute n'est pas déterminant dans ce cas précis, la couverture des besoins en matière sèche étant inférieure au minimum requis (50%).</t>
  </si>
  <si>
    <t>Truies non allaitantes, &gt; 6 mois</t>
  </si>
  <si>
    <t>la marge brute des allaitantes représente 60% du ring complet. Il y a 25% de truies allaitantes et 75% de gestantes.</t>
  </si>
  <si>
    <t>la marge brute des gestantes représente 40% du ring complet. Il y a 25% de truies allaitantes et 75% de gestantes.</t>
  </si>
  <si>
    <t>Nicht säugende Zuchtsauen, über 6 Monate alt</t>
  </si>
  <si>
    <t>DB-Vergleich</t>
  </si>
  <si>
    <t>TS -Bilanz</t>
  </si>
  <si>
    <t>TS -Potential</t>
  </si>
  <si>
    <t>TS -Deckungsgrad</t>
  </si>
  <si>
    <t>Das Kriterium Deckungsbeitrag ist in diesem Fall nicht relevant, weil der TS-Deckungsgrad über 70% erreicht.</t>
  </si>
  <si>
    <t>Das Kriterium Deckungsbeitrag ist in diesem Fall nicht relevant, weil der TS-Deckungsgrad unter 50% liegt.</t>
  </si>
  <si>
    <t>Für Betriebszweige bei denen keine Richtwerte angegeben sind, muss der Antragsteller die Planungszahlen liefern und rechtfertigen.</t>
  </si>
  <si>
    <t>. le calcul avec des valeurs standard</t>
  </si>
  <si>
    <t>. la référence du catalogue des marges brutes</t>
  </si>
  <si>
    <t>Dans notre base de calcul, nous tenons également compte d'un mode de production standard en choisissant systématiquement le mode "prestation écologiques requises" (PER).</t>
  </si>
  <si>
    <t>Le critère des matières sèches (art. 36, al. 1, let. b OAT)</t>
  </si>
  <si>
    <t>. les groupes de cultures</t>
  </si>
  <si>
    <t>Le critère de la marge brute (art. 36 al. 1 let. a OAT)</t>
  </si>
  <si>
    <t>. les différenciations selon les zones agricoles</t>
  </si>
  <si>
    <t>Note explicative:</t>
  </si>
  <si>
    <t>. les marges brutes avec contributions comme critère d'appréciation</t>
  </si>
  <si>
    <t>Pour contenir les tâches administratives dans des limites raisonnables et, d'autre part, permettre d'apprécier de façon plus objective les demandes de développement interne, l'article 36 OAT impose une comparaison des matières sèches en fonction de valeurs standard. Pour le critère de la matière sèche, nous avons également retenu toutes les recommandations de l'ARE, notamment concernant :</t>
  </si>
  <si>
    <t>Le potentiel de MS (grains, bulbes, tubercules, paille, chaumes, intercultures, etc.) de chacune des cultures est estimé sur la base des valeurs de référence (Suisse-Bilanz, Mémento agricole) et précisé en fonction du cadastre de la production agricole concerné (limites de zones et régions).</t>
  </si>
  <si>
    <t>Concernant les besoins en MS des catégories d'animaux, nous avons retenu les valeurs standard de l'ARE.</t>
  </si>
  <si>
    <t>Traçabilité des données et mises à jour</t>
  </si>
  <si>
    <t>Les sources et méthodes de détermination de chaque facteur sont précisées dans la table valeur du présent tableur. Par politique de sécurité, cet onglet n'est pas accessible dans la version "utilisateur".</t>
  </si>
  <si>
    <t>Afin de garantir une bonne stabilité de la planification, la mise à jour des valeurs standard repose sur une moyenne roulante de cinq ans, indexée annuellement.</t>
  </si>
  <si>
    <t>Les cultures sont rassemblées sous forme de groupes principaux. Une sous pondération par type de culture a été définie à l'intérieur des groupes de culture. Celle-ci repose sur les dernières valeurs statistiques officielles du canton de Fribourg.</t>
  </si>
  <si>
    <t>2017 (prix 2016)</t>
  </si>
  <si>
    <t>Coupe de printemps avant rompue</t>
  </si>
  <si>
    <t>Dérobées ou semis d'août de PT</t>
  </si>
  <si>
    <t>Coupe de printemps avant rompue (Hors SAU)</t>
  </si>
  <si>
    <t>Dérobées ou semis d'août de PT (Hors SAU)</t>
  </si>
  <si>
    <t>Total LN</t>
  </si>
  <si>
    <t>Total SAU</t>
  </si>
  <si>
    <t>Äugstlen / Zwischenfutter  (Ausserhalb LN)</t>
  </si>
  <si>
    <t>Frühjahrsschnitt vor Umbruch (Ausserhalb LN)</t>
  </si>
  <si>
    <t xml:space="preserve">Pour établir la base de calcul de la comparaison des marges brutes, nous avons intégré toutes les recommandations du document de l'ARE "Critères de la marge brute et de la matière sèche au sens de l'article 36 OAT"1, à savoir : </t>
  </si>
  <si>
    <t>Unsere Erklärungen:</t>
  </si>
  <si>
    <t>Das Deckungsbeitragskriterium (Art. 36 Abs. 1 Bst. a RPV)</t>
  </si>
  <si>
    <t>. die Berechnung mit Standardwerte</t>
  </si>
  <si>
    <t>. die Referenz des Deckungsbeitragskatalog</t>
  </si>
  <si>
    <t>. der Deckungsbeitrag inklusive Beiträge als Beurteilungskriterien</t>
  </si>
  <si>
    <t xml:space="preserve">In unserer Kalkulationsbasis berücksichtigen wir auch eine Standardproduktionsform, indem wir systematisch die Produktionsform "ökologischer Leistungsnachweis" (ÖLN) wählen. </t>
  </si>
  <si>
    <t>Das Trockensubstanzkriterium (Art. 36 Abs. 1 Bst. b RPV)</t>
  </si>
  <si>
    <t xml:space="preserve">Um die Verwaltungsaufgaben in vertretbaren Grenzen zu halten und anderseits eine objektiviertere Beurteilung der Aufstockungsgesuche zu ermöglichen, verlangt Artikel 36 RPV einen Trockensubstanzvergleich anhand von Standardwerten. Was das Trockensubstanzkriterium betrifft, so haben wir auch alle Empfehlungen des ARE übernommen, insbesondere die folgenden Punkte: </t>
  </si>
  <si>
    <t>. Kulturengruppe</t>
  </si>
  <si>
    <t>. Abstufung nach Produktionszone</t>
  </si>
  <si>
    <t xml:space="preserve">Das TS-Potenzial (Körner, Zwiebeln, Knollen, Stroh, Stoppeln, Zwischenfrüchte usw.) jeder Kultur wird auf der Grundlage der Referenzwerte (Suisse-Bilanz, Wirzkalender) geschätzt und nach dem betreffenden landwirtschaflichen Produktionskataster (Produktionszone und Regionen) festgelegt. </t>
  </si>
  <si>
    <t xml:space="preserve">Die Kulturen werden in Hauptgruppen eingeteilt. Innerhalb der Kulturengruppen wurde eine Untergewichtung nach Kultur definiert. Diese basiert auf den neusten offiziellen statistischen Werten des Kantons Freiburg. </t>
  </si>
  <si>
    <t>Was der TS-Bedarf der Tierkategorien betrifft, haben wir die ARE-Standardwerte übernommen.</t>
  </si>
  <si>
    <t>Datenrückverfolgbarkeit und Updates</t>
  </si>
  <si>
    <t xml:space="preserve">Die Quellen und Methoden zur Bestimmung der einzelnen Faktoren sind in der Wertetabelle dieser Tabelle angegeben. Gemäss Sicherheitsrichtlinie ist dieses Register für die Version "Benutzer" nicht zugänglich. </t>
  </si>
  <si>
    <t xml:space="preserve">Um eine gute Planungssicherheit zu gewährleisten, basiert die Aktualisierung der Standardwerte auf einem Fünfjahresdurchschnitt, der jährlich indexiert wird. </t>
  </si>
  <si>
    <r>
      <rPr>
        <vertAlign val="superscript"/>
        <sz val="10"/>
        <color indexed="8"/>
        <rFont val="Calibri"/>
        <family val="2"/>
      </rPr>
      <t>1</t>
    </r>
    <r>
      <rPr>
        <sz val="10"/>
        <color indexed="8"/>
        <rFont val="Calibri"/>
        <family val="2"/>
      </rPr>
      <t xml:space="preserve"> "Critères de la marge brute et de la matière sèche au sens de l’article 36 OAT" in Nouveau droit de l'aménagement du territoire. Explications relatives à l'ordonnance sur l'aménagement du territoire et recommandations pour la mise en oeuvre, Office fédéral du développement territorial (2000/01), p. 83-94.</t>
    </r>
  </si>
  <si>
    <r>
      <rPr>
        <vertAlign val="superscript"/>
        <sz val="10"/>
        <color indexed="8"/>
        <rFont val="Calibri"/>
        <family val="2"/>
      </rPr>
      <t>1</t>
    </r>
    <r>
      <rPr>
        <sz val="10"/>
        <color indexed="8"/>
        <rFont val="Calibri"/>
        <family val="2"/>
      </rPr>
      <t>"Deckungsbeitrags- und Trockensubstanzkriterium nach Artikel 36 RPV" Neues Raumplanungsrecht, Erläuterungen zur Raumplanungsverordnung und Empfehlungen für den Vollzug, Bundesamt für Raumentwicklung (2000/01), S. 81-92</t>
    </r>
  </si>
  <si>
    <r>
      <t>Um die Grundlagen für die Berechnung des Deckungsbeitragsvergleichs zu schaffen, haben wir alle Empfehlungen des ARE-Dokuments "Deckungsbeitrags- und Trockensubstanzkriterium nach Artikel 36 RPV"</t>
    </r>
    <r>
      <rPr>
        <sz val="8"/>
        <color indexed="8"/>
        <rFont val="Calibri"/>
        <family val="2"/>
      </rPr>
      <t>1</t>
    </r>
    <r>
      <rPr>
        <sz val="10"/>
        <color indexed="8"/>
        <rFont val="Calibri"/>
        <family val="2"/>
      </rPr>
      <t xml:space="preserve"> übernommen, nämlich:</t>
    </r>
  </si>
  <si>
    <t>Grangeneuve</t>
  </si>
  <si>
    <t>Auteur: Grangeneuve</t>
  </si>
  <si>
    <t>Autor: Grangeneuve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</si>
</sst>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fr.&quot;\ * #,##0.00_ ;_ &quot;fr.&quot;\ * \-#,##0.00_ ;_ &quot;fr.&quot;\ * &quot;-&quot;??_ ;_ @_ "/>
    <numFmt numFmtId="43" formatCode="_ * #,##0.00_ ;_ * \-#,##0.00_ ;_ * &quot;-&quot;??_ ;_ @_ "/>
    <numFmt numFmtId="164" formatCode="0.0%"/>
    <numFmt numFmtId="165" formatCode="_ * #,##0_ ;_ * \-#,##0_ ;_ * &quot;-&quot;??_ ;_ @_ "/>
    <numFmt numFmtId="166" formatCode="0.0"/>
    <numFmt numFmtId="167" formatCode="_ * #,##0.0_ ;_ * \-#,##0.0_ ;_ * &quot;-&quot;??_ ;_ @_ "/>
  </numFmts>
  <fonts count="35" x14ac:knownFonts="1">
    <font>
      <sz val="11"/>
      <color theme="1"/>
      <name val="Calibri"/>
      <family val="2"/>
      <scheme val="minor"/>
    </font>
    <font>
      <sz val="10"/>
      <name val="MS Sans Serif"/>
      <family val="2"/>
    </font>
    <font>
      <b/>
      <sz val="24"/>
      <name val="MS Sans Serif"/>
      <family val="2"/>
    </font>
    <font>
      <sz val="10"/>
      <name val="Arial"/>
      <family val="2"/>
    </font>
    <font>
      <b/>
      <sz val="24"/>
      <name val="Arial"/>
      <family val="2"/>
    </font>
    <font>
      <b/>
      <sz val="14"/>
      <name val="Arial"/>
      <family val="2"/>
    </font>
    <font>
      <b/>
      <sz val="18"/>
      <name val="Arial"/>
      <family val="2"/>
    </font>
    <font>
      <sz val="10"/>
      <color indexed="8"/>
      <name val="Calibri"/>
      <family val="2"/>
    </font>
    <font>
      <sz val="8"/>
      <color indexed="8"/>
      <name val="Calibri"/>
      <family val="2"/>
    </font>
    <font>
      <sz val="9"/>
      <color indexed="81"/>
      <name val="Tahoma"/>
      <family val="2"/>
    </font>
    <font>
      <b/>
      <sz val="9"/>
      <color indexed="81"/>
      <name val="Tahoma"/>
      <family val="2"/>
    </font>
    <font>
      <u/>
      <sz val="10"/>
      <color indexed="8"/>
      <name val="Calibri"/>
      <family val="2"/>
    </font>
    <font>
      <vertAlign val="superscript"/>
      <sz val="10"/>
      <color indexed="8"/>
      <name val="Calibri"/>
      <family val="2"/>
    </font>
    <font>
      <sz val="11"/>
      <color theme="1"/>
      <name val="Calibri"/>
      <family val="2"/>
      <scheme val="minor"/>
    </font>
    <font>
      <sz val="11"/>
      <color rgb="FF9C0006"/>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name val="Calibri"/>
      <family val="2"/>
      <scheme val="minor"/>
    </font>
    <font>
      <b/>
      <sz val="10"/>
      <color rgb="FFFF0000"/>
      <name val="Calibri"/>
      <family val="2"/>
      <scheme val="minor"/>
    </font>
    <font>
      <b/>
      <sz val="11.5"/>
      <color theme="1"/>
      <name val="Calibri"/>
      <family val="2"/>
      <scheme val="minor"/>
    </font>
    <font>
      <sz val="10"/>
      <name val="Calibri"/>
      <family val="2"/>
      <scheme val="minor"/>
    </font>
    <font>
      <sz val="10"/>
      <color rgb="FF9C0006"/>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4"/>
      <color theme="1"/>
      <name val="Times New Roman"/>
      <family val="1"/>
    </font>
    <font>
      <sz val="11.5"/>
      <color theme="1"/>
      <name val="Calibri"/>
      <family val="2"/>
      <scheme val="minor"/>
    </font>
    <font>
      <b/>
      <u/>
      <sz val="11.5"/>
      <color theme="1"/>
      <name val="Calibri"/>
      <family val="2"/>
      <scheme val="minor"/>
    </font>
    <font>
      <vertAlign val="superscript"/>
      <sz val="11"/>
      <color theme="1"/>
      <name val="Calibri"/>
      <family val="2"/>
      <scheme val="minor"/>
    </font>
    <font>
      <b/>
      <sz val="14"/>
      <color theme="1"/>
      <name val="Calibri"/>
      <family val="2"/>
      <scheme val="minor"/>
    </font>
    <font>
      <sz val="9"/>
      <color indexed="81"/>
      <name val="Segoe UI"/>
      <charset val="1"/>
    </font>
    <font>
      <b/>
      <sz val="9"/>
      <color indexed="81"/>
      <name val="Segoe UI"/>
      <charset val="1"/>
    </font>
  </fonts>
  <fills count="8">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s>
  <borders count="4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style="hair">
        <color indexed="64"/>
      </bottom>
      <diagonal/>
    </border>
    <border>
      <left/>
      <right/>
      <top/>
      <bottom style="hair">
        <color indexed="64"/>
      </bottom>
      <diagonal/>
    </border>
    <border>
      <left style="double">
        <color indexed="64"/>
      </left>
      <right style="double">
        <color indexed="64"/>
      </right>
      <top/>
      <bottom/>
      <diagonal/>
    </border>
    <border>
      <left/>
      <right style="double">
        <color indexed="64"/>
      </right>
      <top/>
      <bottom/>
      <diagonal/>
    </border>
    <border>
      <left/>
      <right style="thin">
        <color indexed="64"/>
      </right>
      <top/>
      <bottom style="thin">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5">
    <xf numFmtId="0" fontId="0" fillId="0" borderId="0"/>
    <xf numFmtId="43" fontId="13" fillId="0" borderId="0" applyFont="0" applyFill="0" applyBorder="0" applyAlignment="0" applyProtection="0"/>
    <xf numFmtId="0" fontId="1" fillId="0" borderId="0"/>
    <xf numFmtId="9" fontId="13" fillId="0" borderId="0" applyFont="0" applyFill="0" applyBorder="0" applyAlignment="0" applyProtection="0"/>
    <xf numFmtId="0" fontId="14" fillId="2" borderId="0" applyNumberFormat="0" applyBorder="0" applyAlignment="0" applyProtection="0"/>
  </cellStyleXfs>
  <cellXfs count="404">
    <xf numFmtId="0" fontId="0" fillId="0" borderId="0" xfId="0"/>
    <xf numFmtId="0" fontId="2" fillId="0" borderId="0" xfId="2" applyFont="1" applyBorder="1" applyAlignment="1" applyProtection="1"/>
    <xf numFmtId="0" fontId="3" fillId="0" borderId="0" xfId="2" applyFont="1" applyBorder="1" applyAlignment="1" applyProtection="1">
      <alignment horizontal="center"/>
    </xf>
    <xf numFmtId="0" fontId="3" fillId="0" borderId="0" xfId="2" applyFont="1" applyBorder="1" applyAlignment="1" applyProtection="1">
      <alignment horizontal="center" vertical="center"/>
    </xf>
    <xf numFmtId="0" fontId="1" fillId="0" borderId="0" xfId="2" applyBorder="1" applyAlignment="1" applyProtection="1">
      <alignment horizontal="center"/>
    </xf>
    <xf numFmtId="0" fontId="6" fillId="0" borderId="0" xfId="2" applyFont="1" applyBorder="1" applyAlignment="1" applyProtection="1">
      <alignment horizontal="center"/>
    </xf>
    <xf numFmtId="0" fontId="15" fillId="0" borderId="0" xfId="0" applyFont="1"/>
    <xf numFmtId="0" fontId="16" fillId="0" borderId="0" xfId="0" applyFont="1"/>
    <xf numFmtId="0" fontId="15" fillId="0" borderId="0" xfId="0" applyFont="1" applyBorder="1"/>
    <xf numFmtId="0" fontId="15" fillId="0" borderId="0" xfId="0" applyFont="1" applyFill="1" applyBorder="1"/>
    <xf numFmtId="0" fontId="16" fillId="0" borderId="0" xfId="0" applyFont="1" applyFill="1" applyBorder="1" applyAlignment="1">
      <alignment horizontal="center"/>
    </xf>
    <xf numFmtId="0" fontId="15" fillId="0" borderId="0" xfId="0" applyFont="1" applyAlignment="1">
      <alignment horizontal="right"/>
    </xf>
    <xf numFmtId="0" fontId="15" fillId="3" borderId="0" xfId="0" applyFont="1" applyFill="1"/>
    <xf numFmtId="0" fontId="16" fillId="3" borderId="0" xfId="0" applyFont="1" applyFill="1" applyBorder="1" applyAlignment="1">
      <alignment horizontal="left" vertical="top"/>
    </xf>
    <xf numFmtId="0" fontId="5" fillId="0" borderId="0" xfId="2" quotePrefix="1" applyFont="1" applyFill="1" applyBorder="1" applyAlignment="1" applyProtection="1">
      <alignment horizontal="right" vertical="center" shrinkToFit="1"/>
    </xf>
    <xf numFmtId="0" fontId="5" fillId="0" borderId="0" xfId="2" quotePrefix="1" applyFont="1" applyFill="1" applyBorder="1" applyAlignment="1" applyProtection="1">
      <alignment vertical="center" shrinkToFit="1"/>
    </xf>
    <xf numFmtId="0" fontId="6" fillId="0" borderId="0" xfId="2" applyFont="1" applyBorder="1" applyAlignment="1" applyProtection="1">
      <alignment horizontal="right"/>
    </xf>
    <xf numFmtId="0" fontId="15" fillId="4" borderId="0" xfId="0" applyFont="1" applyFill="1"/>
    <xf numFmtId="1" fontId="15" fillId="4" borderId="0" xfId="0" applyNumberFormat="1" applyFont="1" applyFill="1"/>
    <xf numFmtId="0" fontId="5" fillId="0" borderId="0" xfId="2" quotePrefix="1" applyFont="1" applyFill="1" applyBorder="1" applyAlignment="1" applyProtection="1">
      <alignment horizontal="left" vertical="center" shrinkToFit="1"/>
    </xf>
    <xf numFmtId="0" fontId="16" fillId="0" borderId="0" xfId="0" applyFont="1" applyFill="1" applyBorder="1"/>
    <xf numFmtId="0" fontId="17" fillId="0" borderId="0" xfId="0" applyFont="1"/>
    <xf numFmtId="0" fontId="18" fillId="0" borderId="0" xfId="0" applyFont="1"/>
    <xf numFmtId="0" fontId="17" fillId="0" borderId="0" xfId="0" applyFont="1" applyAlignment="1">
      <alignment horizontal="right"/>
    </xf>
    <xf numFmtId="1" fontId="18" fillId="0" borderId="0" xfId="0" applyNumberFormat="1" applyFont="1" applyAlignment="1">
      <alignment horizontal="right"/>
    </xf>
    <xf numFmtId="1" fontId="15" fillId="4" borderId="0" xfId="0" applyNumberFormat="1" applyFont="1" applyFill="1" applyAlignment="1">
      <alignment horizontal="right"/>
    </xf>
    <xf numFmtId="0" fontId="15" fillId="0" borderId="0" xfId="0" applyFont="1" applyBorder="1" applyAlignment="1"/>
    <xf numFmtId="0" fontId="19" fillId="0" borderId="0" xfId="0" applyFont="1" applyAlignment="1">
      <alignment horizontal="right"/>
    </xf>
    <xf numFmtId="0" fontId="15" fillId="0" borderId="0" xfId="0" quotePrefix="1" applyFont="1" applyAlignment="1">
      <alignment horizontal="right"/>
    </xf>
    <xf numFmtId="0" fontId="17" fillId="0" borderId="0" xfId="0" applyFont="1" applyAlignment="1">
      <alignment horizontal="left"/>
    </xf>
    <xf numFmtId="0" fontId="15" fillId="0" borderId="0" xfId="0" applyFont="1" applyBorder="1" applyAlignment="1">
      <alignment horizontal="right"/>
    </xf>
    <xf numFmtId="0" fontId="15" fillId="4" borderId="0" xfId="0" applyFont="1" applyFill="1" applyBorder="1"/>
    <xf numFmtId="0" fontId="15" fillId="4" borderId="0" xfId="0" applyFont="1" applyFill="1" applyBorder="1" applyAlignment="1">
      <alignment horizontal="right"/>
    </xf>
    <xf numFmtId="0" fontId="15" fillId="0" borderId="0" xfId="0" applyFont="1" applyFill="1"/>
    <xf numFmtId="0" fontId="1" fillId="0" borderId="0" xfId="2" applyFill="1" applyBorder="1" applyAlignment="1"/>
    <xf numFmtId="0" fontId="1" fillId="0" borderId="0" xfId="2" quotePrefix="1" applyFill="1" applyBorder="1" applyAlignment="1"/>
    <xf numFmtId="0" fontId="2" fillId="0" borderId="0" xfId="2" applyFont="1" applyFill="1" applyBorder="1" applyAlignment="1" applyProtection="1">
      <alignment horizontal="right"/>
    </xf>
    <xf numFmtId="0" fontId="6" fillId="0" borderId="0" xfId="2" applyFont="1" applyFill="1" applyBorder="1" applyAlignment="1" applyProtection="1">
      <alignment horizontal="center"/>
    </xf>
    <xf numFmtId="0" fontId="6" fillId="0" borderId="0" xfId="2" applyFont="1" applyFill="1" applyBorder="1" applyAlignment="1" applyProtection="1">
      <alignment horizontal="right"/>
    </xf>
    <xf numFmtId="0" fontId="4" fillId="0" borderId="0" xfId="2" applyFont="1" applyFill="1" applyBorder="1" applyAlignment="1" applyProtection="1"/>
    <xf numFmtId="0" fontId="20" fillId="0" borderId="0" xfId="0" applyFont="1" applyFill="1" applyBorder="1" applyAlignment="1"/>
    <xf numFmtId="0" fontId="0" fillId="0" borderId="0" xfId="0" applyFill="1"/>
    <xf numFmtId="0" fontId="0" fillId="0" borderId="0" xfId="0" applyFill="1" applyBorder="1"/>
    <xf numFmtId="0" fontId="0" fillId="0" borderId="0" xfId="0" applyFill="1" applyBorder="1" applyAlignment="1">
      <alignment horizontal="right"/>
    </xf>
    <xf numFmtId="0" fontId="15" fillId="0" borderId="0" xfId="0" applyFont="1" applyFill="1" applyBorder="1" applyAlignment="1">
      <alignment horizontal="right"/>
    </xf>
    <xf numFmtId="0" fontId="16" fillId="0" borderId="0" xfId="0" applyFont="1" applyFill="1" applyBorder="1" applyAlignment="1">
      <alignment vertical="top" wrapText="1"/>
    </xf>
    <xf numFmtId="0" fontId="16" fillId="0" borderId="0" xfId="0" applyFont="1" applyFill="1" applyBorder="1" applyAlignment="1">
      <alignment vertical="top"/>
    </xf>
    <xf numFmtId="0" fontId="15" fillId="0" borderId="0" xfId="0" applyFont="1" applyFill="1" applyBorder="1" applyAlignment="1">
      <alignment horizontal="left"/>
    </xf>
    <xf numFmtId="0" fontId="17" fillId="0" borderId="0" xfId="0" applyFont="1" applyFill="1" applyBorder="1"/>
    <xf numFmtId="0" fontId="18" fillId="0" borderId="0" xfId="0" applyFont="1" applyFill="1" applyBorder="1"/>
    <xf numFmtId="0" fontId="17" fillId="0" borderId="0" xfId="0" applyFont="1" applyFill="1" applyBorder="1" applyAlignment="1">
      <alignment horizontal="right"/>
    </xf>
    <xf numFmtId="1" fontId="18" fillId="0" borderId="0" xfId="0" applyNumberFormat="1" applyFont="1" applyFill="1" applyBorder="1" applyAlignment="1">
      <alignment horizontal="right"/>
    </xf>
    <xf numFmtId="1" fontId="15" fillId="0" borderId="0" xfId="0" applyNumberFormat="1" applyFont="1" applyFill="1" applyBorder="1" applyAlignment="1">
      <alignment horizontal="right"/>
    </xf>
    <xf numFmtId="1" fontId="15" fillId="0" borderId="0" xfId="0" applyNumberFormat="1" applyFont="1" applyFill="1" applyBorder="1"/>
    <xf numFmtId="0" fontId="15" fillId="0" borderId="0" xfId="0" applyFont="1" applyFill="1" applyBorder="1" applyAlignment="1"/>
    <xf numFmtId="0" fontId="19" fillId="0" borderId="0" xfId="0" applyFont="1" applyFill="1" applyBorder="1" applyAlignment="1">
      <alignment horizontal="right"/>
    </xf>
    <xf numFmtId="0" fontId="15" fillId="0" borderId="0" xfId="0" quotePrefix="1" applyFont="1" applyFill="1" applyBorder="1" applyAlignment="1">
      <alignment horizontal="right"/>
    </xf>
    <xf numFmtId="0" fontId="17" fillId="0" borderId="0" xfId="0" applyFont="1" applyFill="1" applyBorder="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right"/>
    </xf>
    <xf numFmtId="0" fontId="16" fillId="0" borderId="0" xfId="0" applyFont="1" applyFill="1" applyBorder="1" applyAlignment="1">
      <alignment horizontal="left" vertical="top"/>
    </xf>
    <xf numFmtId="0" fontId="21" fillId="0" borderId="0" xfId="0" applyFont="1" applyFill="1" applyBorder="1"/>
    <xf numFmtId="0" fontId="16" fillId="0" borderId="0" xfId="0" applyFont="1" applyFill="1" applyBorder="1" applyAlignment="1"/>
    <xf numFmtId="0" fontId="22" fillId="0" borderId="0" xfId="4" applyFont="1" applyFill="1" applyBorder="1"/>
    <xf numFmtId="0" fontId="23" fillId="0" borderId="0" xfId="0" applyFont="1" applyFill="1" applyBorder="1" applyAlignment="1"/>
    <xf numFmtId="0" fontId="24" fillId="0" borderId="0" xfId="0" applyFont="1" applyFill="1" applyBorder="1" applyAlignment="1"/>
    <xf numFmtId="0" fontId="15" fillId="0" borderId="0" xfId="0" applyFont="1" applyFill="1" applyAlignment="1">
      <alignment horizontal="right"/>
    </xf>
    <xf numFmtId="0" fontId="25" fillId="0" borderId="0" xfId="0" applyFont="1" applyFill="1" applyBorder="1"/>
    <xf numFmtId="0" fontId="15" fillId="0" borderId="0" xfId="0" applyFont="1" applyFill="1" applyBorder="1" applyAlignment="1">
      <alignment wrapText="1"/>
    </xf>
    <xf numFmtId="164" fontId="16" fillId="0" borderId="0" xfId="0" applyNumberFormat="1" applyFont="1" applyFill="1" applyBorder="1" applyAlignment="1">
      <alignment horizontal="center"/>
    </xf>
    <xf numFmtId="0" fontId="14" fillId="0" borderId="0" xfId="4" applyFill="1" applyBorder="1" applyAlignment="1"/>
    <xf numFmtId="0" fontId="15" fillId="0" borderId="0" xfId="0" applyFont="1" applyFill="1" applyBorder="1" applyAlignment="1">
      <alignment vertical="top" wrapText="1"/>
    </xf>
    <xf numFmtId="0" fontId="25" fillId="0" borderId="0" xfId="0" applyFont="1"/>
    <xf numFmtId="0" fontId="15" fillId="0" borderId="0" xfId="0" applyFont="1"/>
    <xf numFmtId="0" fontId="15" fillId="0" borderId="1" xfId="0" applyFont="1" applyBorder="1" applyAlignment="1">
      <alignment horizontal="left"/>
    </xf>
    <xf numFmtId="0" fontId="15" fillId="0" borderId="0" xfId="0" applyFont="1" applyBorder="1" applyAlignment="1">
      <alignment horizontal="left"/>
    </xf>
    <xf numFmtId="0" fontId="15" fillId="0" borderId="0" xfId="0" applyFont="1" applyAlignment="1">
      <alignment horizontal="left"/>
    </xf>
    <xf numFmtId="0" fontId="15" fillId="0" borderId="0" xfId="0" quotePrefix="1" applyFont="1" applyAlignment="1">
      <alignment horizontal="left"/>
    </xf>
    <xf numFmtId="0" fontId="16" fillId="0" borderId="0" xfId="0" applyFont="1" applyAlignment="1">
      <alignment horizontal="left"/>
    </xf>
    <xf numFmtId="0" fontId="25" fillId="0" borderId="2" xfId="0" applyFont="1" applyBorder="1" applyAlignment="1">
      <alignment horizontal="left"/>
    </xf>
    <xf numFmtId="0" fontId="16" fillId="0" borderId="2" xfId="0" applyFont="1" applyBorder="1" applyAlignment="1">
      <alignment horizontal="left"/>
    </xf>
    <xf numFmtId="0" fontId="15" fillId="0" borderId="3" xfId="0" applyFont="1" applyBorder="1" applyAlignment="1">
      <alignment horizontal="left"/>
    </xf>
    <xf numFmtId="0" fontId="16" fillId="0" borderId="1" xfId="0" applyFont="1" applyBorder="1" applyAlignment="1">
      <alignment horizontal="left"/>
    </xf>
    <xf numFmtId="164" fontId="16" fillId="0" borderId="1" xfId="0" applyNumberFormat="1" applyFont="1" applyBorder="1" applyAlignment="1">
      <alignment horizontal="left"/>
    </xf>
    <xf numFmtId="164" fontId="16" fillId="0" borderId="4" xfId="0" applyNumberFormat="1" applyFont="1" applyBorder="1" applyAlignment="1">
      <alignment horizontal="left"/>
    </xf>
    <xf numFmtId="0" fontId="15" fillId="0" borderId="5" xfId="0" applyFont="1" applyBorder="1" applyAlignment="1">
      <alignment horizontal="left"/>
    </xf>
    <xf numFmtId="0" fontId="15" fillId="0" borderId="4" xfId="0" applyFont="1" applyBorder="1" applyAlignment="1">
      <alignment horizontal="left"/>
    </xf>
    <xf numFmtId="0" fontId="15" fillId="0" borderId="0" xfId="0" applyFont="1" applyAlignment="1">
      <alignment horizontal="left"/>
    </xf>
    <xf numFmtId="0" fontId="0" fillId="3" borderId="0" xfId="0" applyFill="1"/>
    <xf numFmtId="0" fontId="15" fillId="3" borderId="6" xfId="0" applyFont="1" applyFill="1" applyBorder="1" applyProtection="1">
      <protection locked="0"/>
    </xf>
    <xf numFmtId="0" fontId="1" fillId="0" borderId="0" xfId="2" applyBorder="1" applyAlignment="1" applyProtection="1"/>
    <xf numFmtId="0" fontId="0" fillId="0" borderId="0" xfId="0" applyProtection="1"/>
    <xf numFmtId="0" fontId="15" fillId="0" borderId="0" xfId="0" applyFont="1" applyProtection="1"/>
    <xf numFmtId="0" fontId="16" fillId="0" borderId="7" xfId="0" applyFont="1" applyBorder="1" applyProtection="1"/>
    <xf numFmtId="0" fontId="16" fillId="0" borderId="8" xfId="0" applyFont="1" applyBorder="1" applyProtection="1"/>
    <xf numFmtId="0" fontId="15" fillId="5" borderId="9" xfId="0" applyFont="1" applyFill="1" applyBorder="1" applyAlignment="1" applyProtection="1">
      <alignment horizontal="left"/>
    </xf>
    <xf numFmtId="0" fontId="15" fillId="5" borderId="10" xfId="0" applyFont="1" applyFill="1" applyBorder="1" applyAlignment="1" applyProtection="1"/>
    <xf numFmtId="0" fontId="21" fillId="0" borderId="2" xfId="0" applyFont="1" applyFill="1" applyBorder="1" applyAlignment="1" applyProtection="1"/>
    <xf numFmtId="0" fontId="15" fillId="0" borderId="0" xfId="0" applyFont="1" applyAlignment="1" applyProtection="1">
      <alignment horizontal="center"/>
    </xf>
    <xf numFmtId="0" fontId="16" fillId="0" borderId="11" xfId="0" applyFont="1" applyBorder="1" applyAlignment="1" applyProtection="1">
      <alignment horizontal="right" vertical="top" wrapText="1"/>
    </xf>
    <xf numFmtId="0" fontId="16" fillId="0" borderId="6" xfId="0" applyFont="1" applyBorder="1" applyAlignment="1" applyProtection="1">
      <alignment horizontal="right"/>
    </xf>
    <xf numFmtId="165" fontId="15" fillId="0" borderId="6" xfId="1" applyNumberFormat="1" applyFont="1" applyBorder="1" applyProtection="1"/>
    <xf numFmtId="0" fontId="16" fillId="0" borderId="6" xfId="0" applyFont="1" applyBorder="1" applyProtection="1"/>
    <xf numFmtId="165" fontId="16" fillId="0" borderId="6" xfId="1" applyNumberFormat="1" applyFont="1" applyBorder="1" applyProtection="1"/>
    <xf numFmtId="165" fontId="15" fillId="0" borderId="0" xfId="1" applyNumberFormat="1" applyFont="1" applyProtection="1"/>
    <xf numFmtId="0" fontId="15" fillId="0" borderId="6" xfId="0" applyFont="1" applyBorder="1" applyProtection="1"/>
    <xf numFmtId="165" fontId="15" fillId="0" borderId="6" xfId="1" applyNumberFormat="1" applyFont="1" applyBorder="1" applyAlignment="1" applyProtection="1">
      <alignment horizontal="right"/>
    </xf>
    <xf numFmtId="0" fontId="15" fillId="0" borderId="12" xfId="0" applyFont="1" applyBorder="1" applyProtection="1"/>
    <xf numFmtId="165" fontId="15" fillId="0" borderId="12" xfId="1" applyNumberFormat="1" applyFont="1" applyBorder="1" applyProtection="1"/>
    <xf numFmtId="165" fontId="15" fillId="0" borderId="11" xfId="1" applyNumberFormat="1" applyFont="1" applyBorder="1" applyProtection="1"/>
    <xf numFmtId="0" fontId="26" fillId="0" borderId="2" xfId="0" applyFont="1" applyBorder="1" applyProtection="1"/>
    <xf numFmtId="0" fontId="15" fillId="0" borderId="3" xfId="0" applyFont="1" applyBorder="1" applyProtection="1"/>
    <xf numFmtId="0" fontId="15" fillId="0" borderId="13" xfId="0" applyFont="1" applyBorder="1" applyProtection="1"/>
    <xf numFmtId="0" fontId="25" fillId="0" borderId="1" xfId="0" applyFont="1" applyBorder="1" applyProtection="1"/>
    <xf numFmtId="0" fontId="15" fillId="0" borderId="0" xfId="0" applyFont="1" applyBorder="1" applyProtection="1"/>
    <xf numFmtId="0" fontId="15" fillId="0" borderId="14" xfId="0" applyFont="1" applyBorder="1" applyProtection="1"/>
    <xf numFmtId="0" fontId="15" fillId="0" borderId="1" xfId="0" applyFont="1" applyBorder="1" applyProtection="1"/>
    <xf numFmtId="0" fontId="16" fillId="0" borderId="1" xfId="0" applyFont="1" applyBorder="1" applyAlignment="1" applyProtection="1">
      <alignment horizontal="right"/>
    </xf>
    <xf numFmtId="0" fontId="16" fillId="0" borderId="1" xfId="0" applyFont="1" applyBorder="1" applyProtection="1"/>
    <xf numFmtId="44" fontId="15" fillId="0" borderId="0" xfId="0" applyNumberFormat="1" applyFont="1" applyProtection="1"/>
    <xf numFmtId="0" fontId="16" fillId="0" borderId="8" xfId="0" applyFont="1" applyBorder="1" applyAlignment="1" applyProtection="1">
      <alignment horizontal="left"/>
    </xf>
    <xf numFmtId="0" fontId="16" fillId="0" borderId="0" xfId="0" applyFont="1" applyProtection="1"/>
    <xf numFmtId="0" fontId="16" fillId="0" borderId="2" xfId="0" applyFont="1" applyBorder="1" applyProtection="1"/>
    <xf numFmtId="0" fontId="15" fillId="0" borderId="1" xfId="0" applyFont="1" applyBorder="1" applyAlignment="1" applyProtection="1">
      <alignment horizontal="justify" vertical="center" wrapText="1"/>
    </xf>
    <xf numFmtId="0" fontId="15" fillId="0" borderId="0" xfId="0" applyFont="1" applyBorder="1" applyAlignment="1" applyProtection="1">
      <alignment horizontal="justify" vertical="center" wrapText="1"/>
    </xf>
    <xf numFmtId="0" fontId="15" fillId="0" borderId="14" xfId="0" applyFont="1" applyBorder="1" applyAlignment="1" applyProtection="1">
      <alignment horizontal="justify" vertical="center" wrapText="1"/>
    </xf>
    <xf numFmtId="0" fontId="16" fillId="0" borderId="6" xfId="0" applyFont="1" applyBorder="1" applyAlignment="1" applyProtection="1">
      <alignment horizontal="right" vertical="top" wrapText="1"/>
    </xf>
    <xf numFmtId="2" fontId="15" fillId="5" borderId="6" xfId="0" applyNumberFormat="1" applyFont="1" applyFill="1" applyBorder="1" applyProtection="1">
      <protection locked="0"/>
    </xf>
    <xf numFmtId="2" fontId="16" fillId="0" borderId="6" xfId="0" applyNumberFormat="1" applyFont="1" applyBorder="1" applyProtection="1"/>
    <xf numFmtId="0" fontId="23" fillId="0" borderId="0" xfId="0" applyFont="1" applyProtection="1"/>
    <xf numFmtId="0" fontId="23" fillId="0" borderId="5" xfId="0" applyFont="1" applyBorder="1" applyAlignment="1" applyProtection="1">
      <alignment horizontal="left"/>
    </xf>
    <xf numFmtId="0" fontId="23" fillId="0" borderId="5" xfId="0" applyFont="1" applyBorder="1" applyProtection="1"/>
    <xf numFmtId="165" fontId="23" fillId="0" borderId="5" xfId="1" applyNumberFormat="1" applyFont="1" applyBorder="1" applyProtection="1"/>
    <xf numFmtId="0" fontId="23" fillId="0" borderId="5" xfId="0" applyFont="1" applyBorder="1" applyAlignment="1" applyProtection="1">
      <alignment horizontal="left" indent="5"/>
    </xf>
    <xf numFmtId="0" fontId="15" fillId="5" borderId="15" xfId="0" applyFont="1" applyFill="1" applyBorder="1" applyAlignment="1" applyProtection="1">
      <alignment horizontal="left"/>
      <protection locked="0"/>
    </xf>
    <xf numFmtId="0" fontId="15" fillId="0" borderId="16" xfId="0" applyFont="1" applyBorder="1" applyProtection="1"/>
    <xf numFmtId="0" fontId="15" fillId="0" borderId="0" xfId="0" applyFont="1" applyAlignment="1">
      <alignment horizontal="left"/>
    </xf>
    <xf numFmtId="0" fontId="25" fillId="0" borderId="17" xfId="0" applyFont="1" applyBorder="1" applyAlignment="1">
      <alignment horizontal="left"/>
    </xf>
    <xf numFmtId="0" fontId="15" fillId="0" borderId="17" xfId="0" applyFont="1" applyBorder="1" applyAlignment="1">
      <alignment horizontal="left"/>
    </xf>
    <xf numFmtId="0" fontId="16" fillId="3" borderId="17" xfId="0" applyFont="1" applyFill="1" applyBorder="1" applyAlignment="1">
      <alignment horizontal="left"/>
    </xf>
    <xf numFmtId="0" fontId="21" fillId="0" borderId="17" xfId="0" applyFont="1" applyBorder="1" applyAlignment="1">
      <alignment horizontal="left"/>
    </xf>
    <xf numFmtId="0" fontId="15" fillId="0" borderId="17" xfId="0" applyFont="1" applyFill="1" applyBorder="1" applyAlignment="1">
      <alignment horizontal="left"/>
    </xf>
    <xf numFmtId="0" fontId="15" fillId="6" borderId="17" xfId="0" quotePrefix="1" applyFont="1" applyFill="1" applyBorder="1" applyAlignment="1">
      <alignment horizontal="left"/>
    </xf>
    <xf numFmtId="0" fontId="15" fillId="0" borderId="17" xfId="0" quotePrefix="1" applyFont="1" applyBorder="1" applyAlignment="1">
      <alignment horizontal="left"/>
    </xf>
    <xf numFmtId="0" fontId="15" fillId="7" borderId="17" xfId="0" applyFont="1" applyFill="1" applyBorder="1" applyAlignment="1">
      <alignment horizontal="left"/>
    </xf>
    <xf numFmtId="0" fontId="15" fillId="7" borderId="17" xfId="0" applyFont="1" applyFill="1" applyBorder="1" applyAlignment="1"/>
    <xf numFmtId="0" fontId="16" fillId="0" borderId="17" xfId="0" applyFont="1" applyBorder="1" applyAlignment="1">
      <alignment horizontal="left"/>
    </xf>
    <xf numFmtId="0" fontId="15" fillId="0" borderId="17" xfId="0" applyFont="1" applyBorder="1" applyAlignment="1">
      <alignment horizontal="left" wrapText="1"/>
    </xf>
    <xf numFmtId="0" fontId="15" fillId="0" borderId="17" xfId="0" applyFont="1" applyBorder="1" applyAlignment="1"/>
    <xf numFmtId="0" fontId="16" fillId="0" borderId="17" xfId="0" applyFont="1" applyFill="1" applyBorder="1"/>
    <xf numFmtId="0" fontId="15" fillId="0" borderId="17" xfId="0" applyFont="1" applyBorder="1" applyAlignment="1">
      <alignment wrapText="1"/>
    </xf>
    <xf numFmtId="0" fontId="15" fillId="0" borderId="18" xfId="0" applyFont="1" applyBorder="1"/>
    <xf numFmtId="0" fontId="16" fillId="0" borderId="0" xfId="0" applyFont="1" applyBorder="1" applyAlignment="1" applyProtection="1">
      <alignment vertical="top" wrapText="1"/>
    </xf>
    <xf numFmtId="0" fontId="15" fillId="0" borderId="5" xfId="0" applyFont="1" applyBorder="1" applyProtection="1"/>
    <xf numFmtId="0" fontId="15" fillId="0" borderId="19" xfId="0" applyFont="1" applyBorder="1" applyProtection="1"/>
    <xf numFmtId="0" fontId="15" fillId="0" borderId="17" xfId="0" applyFont="1" applyBorder="1" applyAlignment="1">
      <alignment horizontal="right"/>
    </xf>
    <xf numFmtId="0" fontId="16" fillId="3" borderId="17" xfId="0" applyFont="1" applyFill="1" applyBorder="1" applyAlignment="1">
      <alignment horizontal="right"/>
    </xf>
    <xf numFmtId="1" fontId="15" fillId="0" borderId="17" xfId="0" applyNumberFormat="1" applyFont="1" applyBorder="1" applyAlignment="1">
      <alignment horizontal="right"/>
    </xf>
    <xf numFmtId="0" fontId="15" fillId="0" borderId="17" xfId="0" quotePrefix="1" applyFont="1" applyBorder="1" applyAlignment="1">
      <alignment horizontal="right"/>
    </xf>
    <xf numFmtId="0" fontId="15" fillId="3" borderId="17" xfId="0" applyFont="1" applyFill="1" applyBorder="1" applyAlignment="1">
      <alignment horizontal="right"/>
    </xf>
    <xf numFmtId="0" fontId="15" fillId="0" borderId="20" xfId="0" applyFont="1" applyBorder="1"/>
    <xf numFmtId="0" fontId="15" fillId="4" borderId="20" xfId="0" applyFont="1" applyFill="1" applyBorder="1"/>
    <xf numFmtId="0" fontId="17" fillId="0" borderId="0" xfId="0" applyFont="1" applyBorder="1"/>
    <xf numFmtId="0" fontId="15" fillId="4" borderId="18" xfId="0" applyFont="1" applyFill="1" applyBorder="1"/>
    <xf numFmtId="0" fontId="15" fillId="4" borderId="20" xfId="0" applyFont="1" applyFill="1" applyBorder="1" applyAlignment="1">
      <alignment horizontal="right"/>
    </xf>
    <xf numFmtId="0" fontId="15" fillId="4" borderId="18" xfId="0" applyFont="1" applyFill="1" applyBorder="1" applyAlignment="1">
      <alignment horizontal="right"/>
    </xf>
    <xf numFmtId="0" fontId="15" fillId="4" borderId="20" xfId="0" applyFont="1" applyFill="1" applyBorder="1" applyAlignment="1"/>
    <xf numFmtId="0" fontId="15" fillId="0" borderId="20" xfId="0" applyFont="1" applyBorder="1" applyAlignment="1">
      <alignment horizontal="right"/>
    </xf>
    <xf numFmtId="0" fontId="17" fillId="0" borderId="0" xfId="0" applyFont="1" applyBorder="1" applyAlignment="1">
      <alignment horizontal="right"/>
    </xf>
    <xf numFmtId="0" fontId="16" fillId="0" borderId="21" xfId="0" applyFont="1" applyBorder="1" applyAlignment="1">
      <alignment horizontal="left" vertical="top"/>
    </xf>
    <xf numFmtId="0" fontId="15" fillId="0" borderId="17" xfId="0" quotePrefix="1" applyFont="1" applyFill="1" applyBorder="1" applyAlignment="1">
      <alignment horizontal="left"/>
    </xf>
    <xf numFmtId="0" fontId="15" fillId="0" borderId="17" xfId="0" applyFont="1" applyFill="1" applyBorder="1" applyAlignment="1">
      <alignment horizontal="right"/>
    </xf>
    <xf numFmtId="0" fontId="15" fillId="0" borderId="20" xfId="0" applyFont="1" applyFill="1" applyBorder="1" applyAlignment="1">
      <alignment horizontal="right"/>
    </xf>
    <xf numFmtId="0" fontId="16" fillId="0" borderId="17" xfId="0" quotePrefix="1" applyFont="1" applyFill="1" applyBorder="1" applyAlignment="1">
      <alignment horizontal="left" vertical="top"/>
    </xf>
    <xf numFmtId="0" fontId="16" fillId="0" borderId="22" xfId="0" applyFont="1" applyFill="1" applyBorder="1" applyAlignment="1">
      <alignment horizontal="right" vertical="top" wrapText="1"/>
    </xf>
    <xf numFmtId="0" fontId="16" fillId="0" borderId="23" xfId="0" applyFont="1" applyFill="1" applyBorder="1" applyAlignment="1">
      <alignment horizontal="left" vertical="top"/>
    </xf>
    <xf numFmtId="0" fontId="15" fillId="0" borderId="20" xfId="0" applyFont="1" applyFill="1" applyBorder="1"/>
    <xf numFmtId="0" fontId="15" fillId="5" borderId="24" xfId="0" applyFont="1" applyFill="1" applyBorder="1" applyAlignment="1" applyProtection="1">
      <alignment horizontal="left"/>
      <protection locked="0"/>
    </xf>
    <xf numFmtId="0" fontId="23" fillId="0" borderId="3" xfId="0" applyFont="1" applyBorder="1" applyAlignment="1" applyProtection="1">
      <alignment horizontal="left" indent="5"/>
    </xf>
    <xf numFmtId="0" fontId="23" fillId="0" borderId="3" xfId="0" applyFont="1" applyBorder="1" applyAlignment="1" applyProtection="1">
      <alignment horizontal="left"/>
    </xf>
    <xf numFmtId="0" fontId="23" fillId="0" borderId="3" xfId="0" applyFont="1" applyBorder="1" applyProtection="1"/>
    <xf numFmtId="165" fontId="23" fillId="0" borderId="3" xfId="1" applyNumberFormat="1" applyFont="1" applyBorder="1" applyProtection="1"/>
    <xf numFmtId="0" fontId="16" fillId="0" borderId="25" xfId="0" applyFont="1" applyBorder="1" applyProtection="1"/>
    <xf numFmtId="166" fontId="15" fillId="0" borderId="6" xfId="0" applyNumberFormat="1" applyFont="1" applyBorder="1" applyProtection="1"/>
    <xf numFmtId="166" fontId="15" fillId="0" borderId="17" xfId="0" applyNumberFormat="1" applyFont="1" applyBorder="1" applyAlignment="1">
      <alignment horizontal="right"/>
    </xf>
    <xf numFmtId="166" fontId="15" fillId="4" borderId="20" xfId="0" applyNumberFormat="1" applyFont="1" applyFill="1" applyBorder="1" applyAlignment="1">
      <alignment horizontal="right"/>
    </xf>
    <xf numFmtId="0" fontId="15" fillId="0" borderId="12" xfId="0" applyFont="1" applyBorder="1" applyAlignment="1" applyProtection="1">
      <alignment horizontal="left"/>
    </xf>
    <xf numFmtId="0" fontId="15" fillId="0" borderId="11" xfId="0" applyFont="1" applyBorder="1" applyAlignment="1" applyProtection="1">
      <alignment horizontal="left"/>
    </xf>
    <xf numFmtId="0" fontId="15" fillId="0" borderId="4" xfId="0" applyFont="1" applyBorder="1" applyProtection="1"/>
    <xf numFmtId="165" fontId="15" fillId="0" borderId="6" xfId="0" applyNumberFormat="1" applyFont="1" applyBorder="1" applyProtection="1"/>
    <xf numFmtId="0" fontId="15" fillId="0" borderId="0" xfId="0" applyFont="1" applyAlignment="1">
      <alignment horizontal="left"/>
    </xf>
    <xf numFmtId="1" fontId="15" fillId="0" borderId="17" xfId="0" applyNumberFormat="1" applyFont="1" applyBorder="1" applyAlignment="1">
      <alignment horizontal="left"/>
    </xf>
    <xf numFmtId="0" fontId="15" fillId="0" borderId="0" xfId="0" applyFont="1" applyBorder="1" applyAlignment="1">
      <alignment horizontal="left"/>
    </xf>
    <xf numFmtId="0" fontId="15" fillId="0" borderId="0" xfId="0" applyFont="1" applyAlignment="1">
      <alignment horizontal="left"/>
    </xf>
    <xf numFmtId="0" fontId="16" fillId="0" borderId="5" xfId="0" applyFont="1" applyBorder="1" applyAlignment="1">
      <alignment horizontal="left" vertical="top"/>
    </xf>
    <xf numFmtId="0" fontId="16" fillId="0" borderId="19" xfId="0" applyFont="1" applyBorder="1" applyAlignment="1">
      <alignment horizontal="left" vertical="top"/>
    </xf>
    <xf numFmtId="0" fontId="15" fillId="0" borderId="26" xfId="0" applyFont="1" applyFill="1" applyBorder="1" applyAlignment="1" applyProtection="1">
      <alignment horizontal="left"/>
    </xf>
    <xf numFmtId="0" fontId="15" fillId="0" borderId="27" xfId="0" applyFont="1" applyFill="1" applyBorder="1" applyAlignment="1" applyProtection="1">
      <alignment horizontal="left"/>
    </xf>
    <xf numFmtId="0" fontId="15" fillId="0" borderId="0" xfId="0" applyFont="1" applyFill="1" applyProtection="1"/>
    <xf numFmtId="0" fontId="15" fillId="0" borderId="18" xfId="0" applyFont="1" applyFill="1" applyBorder="1"/>
    <xf numFmtId="1" fontId="15" fillId="0" borderId="17" xfId="0" quotePrefix="1" applyNumberFormat="1" applyFont="1" applyBorder="1" applyAlignment="1">
      <alignment horizontal="left"/>
    </xf>
    <xf numFmtId="0" fontId="16" fillId="0" borderId="17" xfId="0" applyFont="1" applyFill="1" applyBorder="1" applyAlignment="1">
      <alignment horizontal="right"/>
    </xf>
    <xf numFmtId="1" fontId="15" fillId="4" borderId="20" xfId="0" applyNumberFormat="1" applyFont="1" applyFill="1" applyBorder="1" applyAlignment="1"/>
    <xf numFmtId="0" fontId="16" fillId="0" borderId="17" xfId="0" quotePrefix="1" applyFont="1" applyBorder="1" applyAlignment="1">
      <alignment horizontal="left"/>
    </xf>
    <xf numFmtId="0" fontId="25" fillId="0" borderId="20" xfId="0" applyFont="1" applyBorder="1" applyAlignment="1">
      <alignment horizontal="left"/>
    </xf>
    <xf numFmtId="0" fontId="15" fillId="0" borderId="20" xfId="0" applyFont="1" applyBorder="1" applyAlignment="1">
      <alignment horizontal="left"/>
    </xf>
    <xf numFmtId="0" fontId="15" fillId="0" borderId="0" xfId="0" applyFont="1" applyFill="1" applyAlignment="1">
      <alignment horizontal="left"/>
    </xf>
    <xf numFmtId="0" fontId="15" fillId="0" borderId="20" xfId="0" applyFont="1" applyFill="1" applyBorder="1" applyAlignment="1"/>
    <xf numFmtId="0" fontId="15" fillId="0" borderId="0" xfId="0" applyFont="1" applyFill="1" applyAlignment="1">
      <alignment horizontal="center"/>
    </xf>
    <xf numFmtId="0" fontId="16" fillId="0" borderId="0" xfId="0" applyFont="1" applyFill="1"/>
    <xf numFmtId="1" fontId="21" fillId="4" borderId="20" xfId="0" applyNumberFormat="1" applyFont="1" applyFill="1" applyBorder="1" applyAlignment="1"/>
    <xf numFmtId="166" fontId="15" fillId="0" borderId="20" xfId="0" applyNumberFormat="1" applyFont="1" applyFill="1" applyBorder="1" applyAlignment="1">
      <alignment horizontal="right"/>
    </xf>
    <xf numFmtId="166" fontId="15" fillId="0" borderId="17" xfId="0" applyNumberFormat="1" applyFont="1" applyFill="1" applyBorder="1" applyAlignment="1">
      <alignment horizontal="right"/>
    </xf>
    <xf numFmtId="2" fontId="15" fillId="0" borderId="6" xfId="0" applyNumberFormat="1" applyFont="1" applyBorder="1" applyProtection="1"/>
    <xf numFmtId="167" fontId="15" fillId="0" borderId="6" xfId="1" applyNumberFormat="1" applyFont="1" applyBorder="1" applyProtection="1"/>
    <xf numFmtId="167" fontId="15" fillId="0" borderId="6" xfId="1" applyNumberFormat="1" applyFont="1" applyBorder="1" applyAlignment="1" applyProtection="1">
      <alignment horizontal="right"/>
    </xf>
    <xf numFmtId="3" fontId="15" fillId="3" borderId="6" xfId="0" applyNumberFormat="1" applyFont="1" applyFill="1" applyBorder="1" applyProtection="1">
      <protection locked="0"/>
    </xf>
    <xf numFmtId="9" fontId="19" fillId="0" borderId="0" xfId="0" applyNumberFormat="1" applyFont="1" applyBorder="1" applyAlignment="1" applyProtection="1">
      <alignment horizontal="center" vertical="top" wrapText="1"/>
    </xf>
    <xf numFmtId="0" fontId="27" fillId="0" borderId="0" xfId="0" applyFont="1" applyProtection="1"/>
    <xf numFmtId="0" fontId="27" fillId="0" borderId="0" xfId="0" applyFont="1" applyAlignment="1" applyProtection="1">
      <alignment horizontal="center"/>
    </xf>
    <xf numFmtId="0" fontId="17" fillId="0" borderId="14" xfId="0" applyFont="1" applyBorder="1" applyProtection="1"/>
    <xf numFmtId="0" fontId="17" fillId="0" borderId="5" xfId="0" applyFont="1" applyBorder="1" applyProtection="1"/>
    <xf numFmtId="0" fontId="15" fillId="0" borderId="0" xfId="0" applyFont="1" applyBorder="1" applyAlignment="1" applyProtection="1"/>
    <xf numFmtId="0" fontId="15" fillId="0" borderId="14" xfId="0" applyFont="1" applyBorder="1" applyAlignment="1" applyProtection="1"/>
    <xf numFmtId="0" fontId="17" fillId="0" borderId="17" xfId="0" quotePrefix="1" applyFont="1" applyBorder="1" applyAlignment="1">
      <alignment horizontal="left"/>
    </xf>
    <xf numFmtId="0" fontId="17" fillId="0" borderId="17" xfId="0" applyFont="1" applyBorder="1" applyAlignment="1">
      <alignment horizontal="left"/>
    </xf>
    <xf numFmtId="0" fontId="16" fillId="0" borderId="5" xfId="0" applyFont="1" applyBorder="1" applyAlignment="1">
      <alignment horizontal="left" vertical="top"/>
    </xf>
    <xf numFmtId="0" fontId="17" fillId="0" borderId="17" xfId="0" applyFont="1" applyFill="1" applyBorder="1" applyAlignment="1"/>
    <xf numFmtId="0" fontId="27" fillId="0" borderId="17" xfId="4" applyFont="1" applyFill="1" applyBorder="1" applyAlignment="1"/>
    <xf numFmtId="0" fontId="0" fillId="0" borderId="0" xfId="0"/>
    <xf numFmtId="0" fontId="15" fillId="0" borderId="0" xfId="0" applyFont="1"/>
    <xf numFmtId="0" fontId="15" fillId="0" borderId="0" xfId="0" applyFont="1" applyBorder="1"/>
    <xf numFmtId="0" fontId="15" fillId="0" borderId="0" xfId="0" applyFont="1" applyFill="1" applyBorder="1"/>
    <xf numFmtId="0" fontId="16" fillId="0" borderId="0" xfId="0" applyFont="1" applyFill="1" applyBorder="1" applyAlignment="1">
      <alignment horizontal="center"/>
    </xf>
    <xf numFmtId="0" fontId="16" fillId="3" borderId="0" xfId="0" applyFont="1" applyFill="1" applyBorder="1" applyAlignment="1">
      <alignment horizontal="left" vertical="top"/>
    </xf>
    <xf numFmtId="0" fontId="15" fillId="0" borderId="0" xfId="0" applyFont="1" applyBorder="1" applyAlignment="1"/>
    <xf numFmtId="0" fontId="15" fillId="0" borderId="0" xfId="0" applyFont="1" applyBorder="1" applyAlignment="1">
      <alignment horizontal="right"/>
    </xf>
    <xf numFmtId="0" fontId="15" fillId="4" borderId="0" xfId="0" applyFont="1" applyFill="1" applyBorder="1"/>
    <xf numFmtId="0" fontId="15" fillId="0" borderId="18" xfId="0" applyFont="1" applyBorder="1"/>
    <xf numFmtId="0" fontId="15" fillId="0" borderId="17" xfId="0" applyFont="1" applyBorder="1" applyAlignment="1">
      <alignment horizontal="right"/>
    </xf>
    <xf numFmtId="1" fontId="15" fillId="0" borderId="17" xfId="0" applyNumberFormat="1" applyFont="1" applyBorder="1" applyAlignment="1">
      <alignment horizontal="right"/>
    </xf>
    <xf numFmtId="0" fontId="15" fillId="0" borderId="17" xfId="0" quotePrefix="1" applyFont="1" applyBorder="1" applyAlignment="1">
      <alignment horizontal="right"/>
    </xf>
    <xf numFmtId="0" fontId="15" fillId="3" borderId="17" xfId="0" applyFont="1" applyFill="1" applyBorder="1" applyAlignment="1">
      <alignment horizontal="right"/>
    </xf>
    <xf numFmtId="0" fontId="15" fillId="0" borderId="20" xfId="0" applyFont="1" applyBorder="1"/>
    <xf numFmtId="0" fontId="15" fillId="4" borderId="20" xfId="0" applyFont="1" applyFill="1" applyBorder="1"/>
    <xf numFmtId="0" fontId="17" fillId="0" borderId="0" xfId="0" applyFont="1" applyBorder="1"/>
    <xf numFmtId="0" fontId="15" fillId="4" borderId="18" xfId="0" applyFont="1" applyFill="1" applyBorder="1"/>
    <xf numFmtId="0" fontId="15" fillId="4" borderId="20" xfId="0" applyFont="1" applyFill="1" applyBorder="1" applyAlignment="1"/>
    <xf numFmtId="0" fontId="15" fillId="0" borderId="20" xfId="0" applyFont="1" applyBorder="1" applyAlignment="1">
      <alignment horizontal="right"/>
    </xf>
    <xf numFmtId="0" fontId="17" fillId="0" borderId="0" xfId="0" applyFont="1" applyBorder="1" applyAlignment="1">
      <alignment horizontal="right"/>
    </xf>
    <xf numFmtId="0" fontId="16" fillId="0" borderId="21" xfId="0" applyFont="1" applyBorder="1" applyAlignment="1">
      <alignment horizontal="left" vertical="top"/>
    </xf>
    <xf numFmtId="0" fontId="15" fillId="0" borderId="17" xfId="0" applyFont="1" applyFill="1" applyBorder="1" applyAlignment="1">
      <alignment horizontal="right"/>
    </xf>
    <xf numFmtId="0" fontId="15" fillId="0" borderId="20" xfId="0" applyFont="1" applyFill="1" applyBorder="1" applyAlignment="1">
      <alignment horizontal="right"/>
    </xf>
    <xf numFmtId="0" fontId="16" fillId="0" borderId="22" xfId="0" applyFont="1" applyFill="1" applyBorder="1" applyAlignment="1">
      <alignment horizontal="right" vertical="top" wrapText="1"/>
    </xf>
    <xf numFmtId="0" fontId="16" fillId="0" borderId="23" xfId="0" applyFont="1" applyFill="1" applyBorder="1" applyAlignment="1">
      <alignment horizontal="left" vertical="top"/>
    </xf>
    <xf numFmtId="0" fontId="15" fillId="0" borderId="20" xfId="0" applyFont="1" applyFill="1" applyBorder="1"/>
    <xf numFmtId="166" fontId="15" fillId="0" borderId="17" xfId="0" applyNumberFormat="1" applyFont="1" applyBorder="1" applyAlignment="1">
      <alignment horizontal="right"/>
    </xf>
    <xf numFmtId="166" fontId="15" fillId="4" borderId="20" xfId="0" applyNumberFormat="1" applyFont="1" applyFill="1" applyBorder="1" applyAlignment="1">
      <alignment horizontal="right"/>
    </xf>
    <xf numFmtId="0" fontId="16" fillId="0" borderId="5" xfId="0" applyFont="1" applyBorder="1" applyAlignment="1">
      <alignment horizontal="left" vertical="top"/>
    </xf>
    <xf numFmtId="1" fontId="15" fillId="0" borderId="17" xfId="0" applyNumberFormat="1" applyFont="1" applyBorder="1" applyAlignment="1">
      <alignment horizontal="left"/>
    </xf>
    <xf numFmtId="0" fontId="15" fillId="0" borderId="18" xfId="0" applyFont="1" applyFill="1" applyBorder="1"/>
    <xf numFmtId="0" fontId="16" fillId="0" borderId="17" xfId="0" applyFont="1" applyFill="1" applyBorder="1" applyAlignment="1">
      <alignment horizontal="right"/>
    </xf>
    <xf numFmtId="1" fontId="15" fillId="4" borderId="20" xfId="0" applyNumberFormat="1" applyFont="1" applyFill="1" applyBorder="1" applyAlignment="1"/>
    <xf numFmtId="0" fontId="15" fillId="0" borderId="20" xfId="0" applyFont="1" applyFill="1" applyBorder="1" applyAlignment="1"/>
    <xf numFmtId="0" fontId="21" fillId="4" borderId="20" xfId="0" applyFont="1" applyFill="1" applyBorder="1" applyAlignment="1">
      <alignment horizontal="right"/>
    </xf>
    <xf numFmtId="0" fontId="21" fillId="4" borderId="0" xfId="0" applyFont="1" applyFill="1" applyBorder="1"/>
    <xf numFmtId="0" fontId="21" fillId="4" borderId="0" xfId="0" applyFont="1" applyFill="1" applyBorder="1" applyAlignment="1">
      <alignment horizontal="right"/>
    </xf>
    <xf numFmtId="0" fontId="21" fillId="4" borderId="18" xfId="0" applyFont="1" applyFill="1" applyBorder="1" applyAlignment="1">
      <alignment horizontal="right"/>
    </xf>
    <xf numFmtId="166" fontId="15" fillId="0" borderId="20" xfId="0" applyNumberFormat="1" applyFont="1" applyFill="1" applyBorder="1" applyAlignment="1">
      <alignment horizontal="right"/>
    </xf>
    <xf numFmtId="166" fontId="15" fillId="0" borderId="17" xfId="0" applyNumberFormat="1" applyFont="1" applyFill="1" applyBorder="1" applyAlignment="1">
      <alignment horizontal="right"/>
    </xf>
    <xf numFmtId="166" fontId="15" fillId="0" borderId="17" xfId="0" applyNumberFormat="1" applyFont="1" applyBorder="1" applyAlignment="1">
      <alignment horizontal="left"/>
    </xf>
    <xf numFmtId="166" fontId="21" fillId="0" borderId="6" xfId="0" applyNumberFormat="1" applyFont="1" applyBorder="1" applyProtection="1"/>
    <xf numFmtId="165" fontId="21" fillId="0" borderId="6" xfId="1" applyNumberFormat="1" applyFont="1" applyBorder="1" applyAlignment="1" applyProtection="1">
      <alignment horizontal="right"/>
    </xf>
    <xf numFmtId="0" fontId="20" fillId="0" borderId="0" xfId="0" applyFont="1" applyAlignment="1" applyProtection="1">
      <alignment horizontal="center" vertical="top" wrapText="1"/>
    </xf>
    <xf numFmtId="0" fontId="28" fillId="0" borderId="0" xfId="0" applyFont="1" applyAlignment="1">
      <alignment horizontal="justify" vertical="center"/>
    </xf>
    <xf numFmtId="0" fontId="0" fillId="0" borderId="0" xfId="0" applyAlignment="1"/>
    <xf numFmtId="0" fontId="29" fillId="0" borderId="0" xfId="0" applyFont="1" applyAlignment="1">
      <alignment vertical="top" wrapText="1"/>
    </xf>
    <xf numFmtId="0" fontId="20" fillId="0" borderId="0" xfId="0" applyFont="1" applyAlignment="1">
      <alignment vertical="top" wrapText="1"/>
    </xf>
    <xf numFmtId="0" fontId="30" fillId="0" borderId="0" xfId="0" applyFont="1" applyAlignment="1">
      <alignment vertical="top" wrapText="1"/>
    </xf>
    <xf numFmtId="0" fontId="29" fillId="0" borderId="0" xfId="0" applyFont="1" applyAlignment="1">
      <alignment horizontal="justify" vertical="top" wrapText="1"/>
    </xf>
    <xf numFmtId="0" fontId="28" fillId="0" borderId="0" xfId="0" applyFont="1" applyAlignment="1">
      <alignment vertical="top" wrapText="1"/>
    </xf>
    <xf numFmtId="0" fontId="20" fillId="0" borderId="0" xfId="0" applyFont="1" applyAlignment="1" applyProtection="1">
      <alignment vertical="top" wrapText="1"/>
    </xf>
    <xf numFmtId="0" fontId="15" fillId="0" borderId="0" xfId="0" applyFont="1" applyAlignment="1">
      <alignment horizontal="justify" vertical="top" wrapText="1"/>
    </xf>
    <xf numFmtId="0" fontId="31" fillId="0" borderId="0" xfId="0" applyFont="1"/>
    <xf numFmtId="0" fontId="16" fillId="0" borderId="5" xfId="0" applyFont="1" applyBorder="1" applyAlignment="1">
      <alignment horizontal="left" vertical="top"/>
    </xf>
    <xf numFmtId="0" fontId="27" fillId="6" borderId="0" xfId="0" applyFont="1" applyFill="1"/>
    <xf numFmtId="0" fontId="27" fillId="0" borderId="0" xfId="0" applyFont="1"/>
    <xf numFmtId="0" fontId="15" fillId="0" borderId="0" xfId="0" applyFont="1" applyAlignment="1">
      <alignment horizontal="left"/>
    </xf>
    <xf numFmtId="0" fontId="15" fillId="0" borderId="0" xfId="0" applyFont="1" applyAlignment="1">
      <alignment horizontal="left"/>
    </xf>
    <xf numFmtId="0" fontId="30" fillId="0" borderId="0" xfId="0" applyFont="1" applyAlignment="1">
      <alignment horizontal="justify" vertical="top" wrapText="1"/>
    </xf>
    <xf numFmtId="20" fontId="15" fillId="0" borderId="0" xfId="0" applyNumberFormat="1" applyFont="1" applyBorder="1"/>
    <xf numFmtId="165" fontId="16" fillId="0" borderId="39" xfId="1" applyNumberFormat="1" applyFont="1" applyBorder="1" applyAlignment="1" applyProtection="1">
      <alignment horizontal="right" vertical="top" wrapText="1"/>
    </xf>
    <xf numFmtId="165" fontId="16" fillId="0" borderId="40" xfId="1" applyNumberFormat="1" applyFont="1" applyBorder="1" applyAlignment="1" applyProtection="1">
      <alignment horizontal="right" vertical="top" wrapText="1"/>
    </xf>
    <xf numFmtId="0" fontId="16" fillId="0" borderId="39" xfId="0" applyFont="1" applyBorder="1" applyAlignment="1" applyProtection="1">
      <alignment horizontal="right" vertical="top" wrapText="1"/>
    </xf>
    <xf numFmtId="0" fontId="16" fillId="0" borderId="40" xfId="0" applyFont="1" applyBorder="1" applyAlignment="1" applyProtection="1">
      <alignment horizontal="right" vertical="top" wrapText="1"/>
    </xf>
    <xf numFmtId="165" fontId="16" fillId="0" borderId="39" xfId="1" applyNumberFormat="1" applyFont="1" applyBorder="1" applyAlignment="1" applyProtection="1">
      <alignment horizontal="center" vertical="top"/>
    </xf>
    <xf numFmtId="165" fontId="16" fillId="0" borderId="40" xfId="1" applyNumberFormat="1" applyFont="1" applyBorder="1" applyAlignment="1" applyProtection="1">
      <alignment horizontal="center" vertical="top"/>
    </xf>
    <xf numFmtId="165" fontId="16" fillId="0" borderId="39" xfId="1" applyNumberFormat="1" applyFont="1" applyBorder="1" applyAlignment="1" applyProtection="1">
      <alignment horizontal="center" vertical="top" wrapText="1"/>
    </xf>
    <xf numFmtId="165" fontId="16" fillId="0" borderId="40" xfId="1" applyNumberFormat="1" applyFont="1" applyBorder="1" applyAlignment="1" applyProtection="1">
      <alignment horizontal="center" vertical="top" wrapText="1"/>
    </xf>
    <xf numFmtId="0" fontId="16" fillId="0" borderId="39" xfId="0" applyFont="1" applyBorder="1" applyAlignment="1" applyProtection="1">
      <alignment horizontal="center" vertical="top"/>
    </xf>
    <xf numFmtId="0" fontId="16" fillId="0" borderId="40" xfId="0" applyFont="1" applyBorder="1" applyAlignment="1" applyProtection="1">
      <alignment horizontal="center" vertical="top"/>
    </xf>
    <xf numFmtId="0" fontId="16" fillId="0" borderId="26" xfId="0" applyFont="1" applyBorder="1" applyAlignment="1" applyProtection="1">
      <alignment horizontal="left"/>
    </xf>
    <xf numFmtId="0" fontId="16" fillId="0" borderId="12" xfId="0" applyFont="1" applyBorder="1" applyAlignment="1" applyProtection="1">
      <alignment horizontal="left"/>
    </xf>
    <xf numFmtId="0" fontId="16" fillId="0" borderId="11" xfId="0" applyFont="1" applyBorder="1" applyAlignment="1" applyProtection="1">
      <alignment horizontal="left"/>
    </xf>
    <xf numFmtId="0" fontId="16" fillId="0" borderId="28" xfId="0" applyFont="1" applyBorder="1" applyAlignment="1" applyProtection="1">
      <alignment horizontal="center" vertical="top" wrapText="1"/>
    </xf>
    <xf numFmtId="0" fontId="16" fillId="0" borderId="29" xfId="0" applyFont="1" applyBorder="1" applyAlignment="1" applyProtection="1">
      <alignment horizontal="center" vertical="top" wrapText="1"/>
    </xf>
    <xf numFmtId="0" fontId="16" fillId="0" borderId="43" xfId="0" applyFont="1" applyBorder="1" applyAlignment="1" applyProtection="1">
      <alignment horizontal="center" vertical="top" wrapText="1"/>
    </xf>
    <xf numFmtId="0" fontId="16" fillId="0" borderId="44" xfId="0" applyFont="1" applyBorder="1" applyAlignment="1" applyProtection="1">
      <alignment horizontal="center" vertical="top" wrapText="1"/>
    </xf>
    <xf numFmtId="0" fontId="16" fillId="0" borderId="28" xfId="0" applyFont="1" applyBorder="1" applyAlignment="1" applyProtection="1">
      <alignment horizontal="center" vertical="top"/>
    </xf>
    <xf numFmtId="0" fontId="16" fillId="0" borderId="29" xfId="0" applyFont="1" applyBorder="1" applyAlignment="1" applyProtection="1">
      <alignment horizontal="center" vertical="top"/>
    </xf>
    <xf numFmtId="0" fontId="16" fillId="0" borderId="43" xfId="0" applyFont="1" applyBorder="1" applyAlignment="1" applyProtection="1">
      <alignment horizontal="center" vertical="top"/>
    </xf>
    <xf numFmtId="0" fontId="16" fillId="0" borderId="44" xfId="0" applyFont="1" applyBorder="1" applyAlignment="1" applyProtection="1">
      <alignment horizontal="center" vertical="top"/>
    </xf>
    <xf numFmtId="0" fontId="16" fillId="0" borderId="30" xfId="0" applyFont="1" applyBorder="1" applyAlignment="1" applyProtection="1">
      <alignment horizontal="center" vertical="top" wrapText="1"/>
    </xf>
    <xf numFmtId="0" fontId="16" fillId="0" borderId="31" xfId="0" applyFont="1" applyBorder="1" applyAlignment="1" applyProtection="1">
      <alignment horizontal="center" vertical="top" wrapText="1"/>
    </xf>
    <xf numFmtId="3" fontId="16" fillId="0" borderId="9" xfId="0" applyNumberFormat="1" applyFont="1" applyBorder="1" applyAlignment="1" applyProtection="1">
      <alignment horizontal="center" vertical="center"/>
    </xf>
    <xf numFmtId="3" fontId="16" fillId="0" borderId="32" xfId="0" applyNumberFormat="1" applyFont="1" applyBorder="1" applyAlignment="1" applyProtection="1">
      <alignment horizontal="center" vertical="center"/>
    </xf>
    <xf numFmtId="0" fontId="15" fillId="0" borderId="26" xfId="0" applyFont="1" applyBorder="1" applyAlignment="1" applyProtection="1">
      <alignment horizontal="left"/>
    </xf>
    <xf numFmtId="0" fontId="15" fillId="0" borderId="12" xfId="0" applyFont="1" applyBorder="1" applyAlignment="1" applyProtection="1">
      <alignment horizontal="left"/>
    </xf>
    <xf numFmtId="0" fontId="15" fillId="0" borderId="11" xfId="0" applyFont="1" applyBorder="1" applyAlignment="1" applyProtection="1">
      <alignment horizontal="left"/>
    </xf>
    <xf numFmtId="0" fontId="16" fillId="0" borderId="30" xfId="0" applyFont="1" applyBorder="1" applyAlignment="1" applyProtection="1">
      <alignment horizontal="center" vertical="top"/>
    </xf>
    <xf numFmtId="0" fontId="16" fillId="0" borderId="31" xfId="0" applyFont="1" applyBorder="1" applyAlignment="1" applyProtection="1">
      <alignment horizontal="center" vertical="top"/>
    </xf>
    <xf numFmtId="0" fontId="15" fillId="5" borderId="24" xfId="0" applyFont="1" applyFill="1" applyBorder="1" applyAlignment="1" applyProtection="1">
      <alignment horizontal="left"/>
      <protection locked="0"/>
    </xf>
    <xf numFmtId="0" fontId="15" fillId="5" borderId="41" xfId="0" applyFont="1" applyFill="1" applyBorder="1" applyAlignment="1" applyProtection="1">
      <alignment horizontal="left"/>
      <protection locked="0"/>
    </xf>
    <xf numFmtId="0" fontId="15" fillId="5" borderId="33" xfId="0" applyFont="1" applyFill="1" applyBorder="1" applyAlignment="1" applyProtection="1">
      <alignment horizontal="left"/>
      <protection locked="0"/>
    </xf>
    <xf numFmtId="0" fontId="15" fillId="5" borderId="34" xfId="0" applyFont="1" applyFill="1" applyBorder="1" applyAlignment="1" applyProtection="1">
      <alignment horizontal="left"/>
      <protection locked="0"/>
    </xf>
    <xf numFmtId="0" fontId="15" fillId="5" borderId="42" xfId="0" applyFont="1" applyFill="1" applyBorder="1" applyAlignment="1" applyProtection="1">
      <alignment horizontal="left"/>
      <protection locked="0"/>
    </xf>
    <xf numFmtId="0" fontId="16" fillId="5" borderId="33" xfId="0" applyFont="1" applyFill="1" applyBorder="1" applyAlignment="1" applyProtection="1">
      <alignment horizontal="left"/>
      <protection locked="0"/>
    </xf>
    <xf numFmtId="0" fontId="16" fillId="5" borderId="9" xfId="0" applyFont="1" applyFill="1" applyBorder="1" applyAlignment="1" applyProtection="1">
      <alignment horizontal="left"/>
      <protection locked="0"/>
    </xf>
    <xf numFmtId="0" fontId="20" fillId="0" borderId="0" xfId="0" applyFont="1" applyAlignment="1" applyProtection="1">
      <alignment horizontal="center" vertical="top" wrapText="1"/>
    </xf>
    <xf numFmtId="0" fontId="15" fillId="5" borderId="9" xfId="0" applyFont="1" applyFill="1" applyBorder="1" applyAlignment="1" applyProtection="1">
      <alignment horizontal="left"/>
      <protection locked="0"/>
    </xf>
    <xf numFmtId="0" fontId="16" fillId="5" borderId="35" xfId="0" applyFont="1" applyFill="1" applyBorder="1" applyAlignment="1" applyProtection="1">
      <alignment horizontal="left"/>
      <protection locked="0"/>
    </xf>
    <xf numFmtId="0" fontId="16" fillId="5" borderId="36" xfId="0" applyFont="1" applyFill="1" applyBorder="1" applyAlignment="1" applyProtection="1">
      <alignment horizontal="left"/>
      <protection locked="0"/>
    </xf>
    <xf numFmtId="0" fontId="16" fillId="0" borderId="37" xfId="0" applyFont="1" applyBorder="1" applyAlignment="1" applyProtection="1">
      <alignment horizontal="left" vertical="top" wrapText="1"/>
    </xf>
    <xf numFmtId="0" fontId="16" fillId="0" borderId="38" xfId="0" applyFont="1" applyBorder="1" applyAlignment="1" applyProtection="1">
      <alignment horizontal="left" vertical="top" wrapText="1"/>
    </xf>
    <xf numFmtId="0" fontId="16" fillId="0" borderId="26" xfId="0" applyFont="1" applyBorder="1" applyAlignment="1" applyProtection="1">
      <alignment horizontal="left" vertical="top" wrapText="1"/>
    </xf>
    <xf numFmtId="0" fontId="16" fillId="0" borderId="12" xfId="0" applyFont="1" applyBorder="1" applyAlignment="1" applyProtection="1">
      <alignment horizontal="left" vertical="top" wrapText="1"/>
    </xf>
    <xf numFmtId="0" fontId="15" fillId="0" borderId="26" xfId="0" applyFont="1" applyBorder="1" applyAlignment="1" applyProtection="1">
      <alignment horizontal="center"/>
    </xf>
    <xf numFmtId="0" fontId="15" fillId="0" borderId="12" xfId="0" applyFont="1" applyBorder="1" applyAlignment="1" applyProtection="1">
      <alignment horizontal="center"/>
    </xf>
    <xf numFmtId="0" fontId="15" fillId="0" borderId="11" xfId="0" applyFont="1" applyBorder="1" applyAlignment="1" applyProtection="1">
      <alignment horizontal="center"/>
    </xf>
    <xf numFmtId="0" fontId="21" fillId="0" borderId="26" xfId="0" applyFont="1" applyBorder="1" applyAlignment="1" applyProtection="1">
      <alignment horizontal="left"/>
    </xf>
    <xf numFmtId="0" fontId="21" fillId="0" borderId="12" xfId="0" applyFont="1" applyBorder="1" applyAlignment="1" applyProtection="1">
      <alignment horizontal="left"/>
    </xf>
    <xf numFmtId="0" fontId="21" fillId="0" borderId="11" xfId="0" applyFont="1" applyBorder="1" applyAlignment="1" applyProtection="1">
      <alignment horizontal="left"/>
    </xf>
    <xf numFmtId="0" fontId="15" fillId="0" borderId="26" xfId="0" applyFont="1" applyFill="1" applyBorder="1" applyAlignment="1" applyProtection="1">
      <alignment horizontal="left"/>
    </xf>
    <xf numFmtId="0" fontId="15" fillId="0" borderId="12" xfId="0" applyFont="1" applyFill="1" applyBorder="1" applyAlignment="1" applyProtection="1">
      <alignment horizontal="left"/>
    </xf>
    <xf numFmtId="0" fontId="15" fillId="0" borderId="11" xfId="0" applyFont="1" applyFill="1" applyBorder="1" applyAlignment="1" applyProtection="1">
      <alignment horizontal="left"/>
    </xf>
    <xf numFmtId="0" fontId="18" fillId="0" borderId="26" xfId="0" applyFont="1" applyBorder="1" applyAlignment="1" applyProtection="1">
      <alignment horizontal="left"/>
    </xf>
    <xf numFmtId="0" fontId="18" fillId="0" borderId="12" xfId="0" applyFont="1" applyBorder="1" applyAlignment="1" applyProtection="1">
      <alignment horizontal="left"/>
    </xf>
    <xf numFmtId="0" fontId="18" fillId="0" borderId="11" xfId="0" applyFont="1" applyBorder="1" applyAlignment="1" applyProtection="1">
      <alignment horizontal="left"/>
    </xf>
    <xf numFmtId="0" fontId="15" fillId="0" borderId="1"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14" xfId="0" applyFont="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19" xfId="0" applyFont="1" applyBorder="1" applyAlignment="1" applyProtection="1">
      <alignment horizontal="left" vertical="top" wrapText="1"/>
    </xf>
    <xf numFmtId="0" fontId="16" fillId="0" borderId="1" xfId="0" applyFont="1" applyBorder="1" applyAlignment="1" applyProtection="1">
      <alignment horizontal="justify" vertical="center" wrapText="1"/>
    </xf>
    <xf numFmtId="0" fontId="16" fillId="0" borderId="0" xfId="0" applyFont="1" applyBorder="1" applyAlignment="1" applyProtection="1">
      <alignment horizontal="justify" vertical="center" wrapText="1"/>
    </xf>
    <xf numFmtId="0" fontId="16" fillId="0" borderId="14" xfId="0" applyFont="1" applyBorder="1" applyAlignment="1" applyProtection="1">
      <alignment horizontal="justify" vertical="center" wrapText="1"/>
    </xf>
    <xf numFmtId="164" fontId="16" fillId="0" borderId="9" xfId="3" applyNumberFormat="1" applyFont="1" applyBorder="1" applyAlignment="1" applyProtection="1">
      <alignment horizontal="center"/>
    </xf>
    <xf numFmtId="164" fontId="16" fillId="0" borderId="32" xfId="3" applyNumberFormat="1" applyFont="1" applyBorder="1" applyAlignment="1" applyProtection="1">
      <alignment horizontal="center"/>
    </xf>
    <xf numFmtId="0" fontId="21" fillId="0" borderId="1" xfId="0" applyFont="1" applyBorder="1" applyAlignment="1" applyProtection="1">
      <alignment horizontal="left" wrapText="1"/>
    </xf>
    <xf numFmtId="0" fontId="21" fillId="0" borderId="0" xfId="0" applyFont="1" applyBorder="1" applyAlignment="1" applyProtection="1">
      <alignment horizontal="left" wrapText="1"/>
    </xf>
    <xf numFmtId="0" fontId="21" fillId="0" borderId="14" xfId="0" applyFont="1" applyBorder="1" applyAlignment="1" applyProtection="1">
      <alignment horizontal="left" wrapText="1"/>
    </xf>
    <xf numFmtId="0" fontId="16" fillId="0" borderId="1"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5" fillId="0" borderId="1" xfId="0" applyFont="1" applyBorder="1" applyAlignment="1" applyProtection="1">
      <alignment horizontal="left"/>
    </xf>
    <xf numFmtId="0" fontId="15" fillId="0" borderId="0" xfId="0" applyFont="1" applyBorder="1" applyAlignment="1" applyProtection="1">
      <alignment horizontal="left"/>
    </xf>
    <xf numFmtId="0" fontId="15" fillId="0" borderId="14" xfId="0" applyFont="1" applyBorder="1" applyAlignment="1" applyProtection="1">
      <alignment horizontal="left"/>
    </xf>
    <xf numFmtId="0" fontId="15" fillId="0" borderId="0" xfId="0" applyFont="1" applyAlignment="1" applyProtection="1">
      <alignment horizontal="left"/>
    </xf>
    <xf numFmtId="3" fontId="16" fillId="0" borderId="9" xfId="0" applyNumberFormat="1" applyFont="1" applyBorder="1" applyAlignment="1" applyProtection="1">
      <alignment horizontal="center"/>
    </xf>
    <xf numFmtId="3" fontId="16" fillId="0" borderId="32" xfId="0" applyNumberFormat="1" applyFont="1" applyBorder="1" applyAlignment="1" applyProtection="1">
      <alignment horizontal="center"/>
    </xf>
    <xf numFmtId="0" fontId="32" fillId="0" borderId="20" xfId="0" applyFont="1" applyBorder="1" applyAlignment="1">
      <alignment horizontal="center"/>
    </xf>
    <xf numFmtId="0" fontId="32" fillId="0" borderId="0" xfId="0" applyFont="1" applyAlignment="1">
      <alignment horizontal="center"/>
    </xf>
    <xf numFmtId="0" fontId="16" fillId="3" borderId="20" xfId="0" applyFont="1" applyFill="1" applyBorder="1" applyAlignment="1">
      <alignment horizontal="center"/>
    </xf>
    <xf numFmtId="0" fontId="16" fillId="3" borderId="0" xfId="0" applyFont="1" applyFill="1" applyBorder="1" applyAlignment="1">
      <alignment horizontal="center"/>
    </xf>
    <xf numFmtId="0" fontId="16" fillId="3" borderId="18" xfId="0" applyFont="1" applyFill="1" applyBorder="1" applyAlignment="1">
      <alignment horizontal="center"/>
    </xf>
    <xf numFmtId="0" fontId="16" fillId="4" borderId="20" xfId="0" applyFont="1" applyFill="1" applyBorder="1" applyAlignment="1">
      <alignment horizontal="center"/>
    </xf>
    <xf numFmtId="0" fontId="16" fillId="4" borderId="0" xfId="0" applyFont="1" applyFill="1" applyBorder="1" applyAlignment="1">
      <alignment horizontal="center"/>
    </xf>
    <xf numFmtId="0" fontId="16" fillId="4" borderId="18" xfId="0" applyFont="1" applyFill="1" applyBorder="1" applyAlignment="1">
      <alignment horizontal="center"/>
    </xf>
    <xf numFmtId="0" fontId="14" fillId="6" borderId="1" xfId="4" applyFill="1" applyBorder="1" applyAlignment="1">
      <alignment horizontal="left"/>
    </xf>
    <xf numFmtId="0" fontId="14" fillId="6" borderId="0" xfId="4" applyFill="1" applyBorder="1" applyAlignment="1">
      <alignment horizontal="left"/>
    </xf>
    <xf numFmtId="0" fontId="14" fillId="6" borderId="14" xfId="4" applyFill="1" applyBorder="1" applyAlignment="1">
      <alignment horizontal="left"/>
    </xf>
    <xf numFmtId="0" fontId="15" fillId="0" borderId="1" xfId="0" applyFont="1" applyBorder="1" applyAlignment="1">
      <alignment horizontal="left" wrapText="1"/>
    </xf>
    <xf numFmtId="0" fontId="15" fillId="0" borderId="0" xfId="0" applyFont="1" applyBorder="1" applyAlignment="1">
      <alignment horizontal="left" wrapText="1"/>
    </xf>
    <xf numFmtId="0" fontId="15" fillId="0" borderId="14" xfId="0" applyFont="1" applyBorder="1" applyAlignment="1">
      <alignment horizontal="left" wrapText="1"/>
    </xf>
    <xf numFmtId="0" fontId="15" fillId="0" borderId="1" xfId="0" applyFont="1" applyBorder="1" applyAlignment="1">
      <alignment horizontal="left"/>
    </xf>
    <xf numFmtId="0" fontId="15" fillId="0" borderId="0" xfId="0" applyFont="1" applyBorder="1" applyAlignment="1">
      <alignment horizontal="left"/>
    </xf>
    <xf numFmtId="0" fontId="15" fillId="0" borderId="14" xfId="0" applyFont="1" applyBorder="1" applyAlignment="1">
      <alignment horizontal="left"/>
    </xf>
    <xf numFmtId="0" fontId="15" fillId="0" borderId="0" xfId="0" applyFont="1" applyAlignment="1">
      <alignment horizontal="left"/>
    </xf>
    <xf numFmtId="0" fontId="32" fillId="0" borderId="0" xfId="0" applyFont="1" applyBorder="1" applyAlignment="1">
      <alignment horizontal="center"/>
    </xf>
    <xf numFmtId="0" fontId="32" fillId="0" borderId="18" xfId="0" applyFont="1" applyBorder="1" applyAlignment="1">
      <alignment horizontal="center"/>
    </xf>
    <xf numFmtId="0" fontId="16" fillId="0" borderId="17" xfId="0" applyFont="1" applyBorder="1" applyAlignment="1">
      <alignment horizontal="center" wrapText="1"/>
    </xf>
    <xf numFmtId="0" fontId="25" fillId="4" borderId="0" xfId="0" applyFont="1" applyFill="1" applyAlignment="1">
      <alignment horizontal="center"/>
    </xf>
    <xf numFmtId="0" fontId="16" fillId="0" borderId="39" xfId="0" applyFont="1" applyBorder="1" applyAlignment="1">
      <alignment horizontal="left" vertical="top" wrapText="1"/>
    </xf>
    <xf numFmtId="0" fontId="16" fillId="0" borderId="40" xfId="0" applyFont="1" applyBorder="1" applyAlignment="1">
      <alignment horizontal="left" vertical="top"/>
    </xf>
    <xf numFmtId="0" fontId="16" fillId="0" borderId="40" xfId="0" applyFont="1" applyBorder="1" applyAlignment="1">
      <alignment horizontal="left" vertical="top" wrapText="1"/>
    </xf>
    <xf numFmtId="0" fontId="16" fillId="0" borderId="39" xfId="0" applyFont="1" applyBorder="1" applyAlignment="1">
      <alignment horizontal="right" vertical="top" wrapText="1"/>
    </xf>
    <xf numFmtId="0" fontId="16" fillId="0" borderId="40" xfId="0" applyFont="1" applyBorder="1" applyAlignment="1">
      <alignment horizontal="right" vertical="top" wrapText="1"/>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13" xfId="0" applyFont="1" applyBorder="1" applyAlignment="1">
      <alignment horizontal="left" vertical="top"/>
    </xf>
    <xf numFmtId="0" fontId="16" fillId="0" borderId="4" xfId="0" applyFont="1" applyBorder="1" applyAlignment="1">
      <alignment horizontal="left" vertical="top"/>
    </xf>
    <xf numFmtId="0" fontId="16" fillId="0" borderId="5" xfId="0" applyFont="1" applyBorder="1" applyAlignment="1">
      <alignment horizontal="left" vertical="top"/>
    </xf>
    <xf numFmtId="0" fontId="16" fillId="0" borderId="19" xfId="0" applyFont="1" applyBorder="1" applyAlignment="1">
      <alignment horizontal="left" vertical="top"/>
    </xf>
  </cellXfs>
  <cellStyles count="5">
    <cellStyle name="Insatisfaisant" xfId="4" builtinId="27"/>
    <cellStyle name="Milliers" xfId="1" builtinId="3"/>
    <cellStyle name="Normal" xfId="0" builtinId="0"/>
    <cellStyle name="Normal_fef_F" xfId="2" xr:uid="{00000000-0005-0000-0000-000001000000}"/>
    <cellStyle name="Pourcentage" xfId="3" builtinId="5"/>
  </cellStyles>
  <dxfs count="5">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Drop" dropLines="3" dropStyle="combo" dx="31" fmlaLink="Auswahl!$A$2" fmlaRange="Auswahl!$C$11:$C$12" noThreeD="1" sel="1" val="0"/>
</file>

<file path=xl/ctrlProps/ctrlProp2.xml><?xml version="1.0" encoding="utf-8"?>
<formControlPr xmlns="http://schemas.microsoft.com/office/spreadsheetml/2009/9/main" objectType="Drop" dropLines="6" dropStyle="combo" dx="31" fmlaLink="Auswahl!$A$1" fmlaRange="Auswahl!$B$11:$B$15" noThreeD="1" sel="1" val="0"/>
</file>

<file path=xl/ctrlProps/ctrlProp3.xml><?xml version="1.0" encoding="utf-8"?>
<formControlPr xmlns="http://schemas.microsoft.com/office/spreadsheetml/2009/9/main" objectType="Drop" dropLines="6" dropStyle="combo" dx="31" fmlaRange="Auswahl!$D$11:$D$14"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577850</xdr:colOff>
      <xdr:row>1</xdr:row>
      <xdr:rowOff>158750</xdr:rowOff>
    </xdr:to>
    <xdr:pic>
      <xdr:nvPicPr>
        <xdr:cNvPr id="3073" name="Image 2" descr="logo_fr_300.jpg">
          <a:extLst>
            <a:ext uri="{FF2B5EF4-FFF2-40B4-BE49-F238E27FC236}">
              <a16:creationId xmlns:a16="http://schemas.microsoft.com/office/drawing/2014/main" id="{00000000-0008-0000-00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7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504825</xdr:colOff>
          <xdr:row>5</xdr:row>
          <xdr:rowOff>19050</xdr:rowOff>
        </xdr:from>
        <xdr:to>
          <xdr:col>8</xdr:col>
          <xdr:colOff>9525</xdr:colOff>
          <xdr:row>6</xdr:row>
          <xdr:rowOff>66675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0</xdr:colOff>
          <xdr:row>14</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3</xdr:col>
          <xdr:colOff>676275</xdr:colOff>
          <xdr:row>10</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577850</xdr:colOff>
      <xdr:row>1</xdr:row>
      <xdr:rowOff>63500</xdr:rowOff>
    </xdr:to>
    <xdr:pic>
      <xdr:nvPicPr>
        <xdr:cNvPr id="1032" name="Image 5" descr="logo_fr_300.jpg">
          <a:extLst>
            <a:ext uri="{FF2B5EF4-FFF2-40B4-BE49-F238E27FC236}">
              <a16:creationId xmlns:a16="http://schemas.microsoft.com/office/drawing/2014/main" id="{00000000-0008-0000-01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7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illonel Amaël" id="{95573062-4F00-41E3-A00D-76CD005052A2}" userId="S::Amael.Pillonel@fr.ch::d7cc97b2-1803-4409-8313-2a5f04a4ffc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9" dT="2022-04-25T14:09:56.21" personId="{95573062-4F00-41E3-A00D-76CD005052A2}" id="{42A3BDED-C7AB-4082-B75C-80E11CED6DA5}">
    <text>Vêlage à 26 mois à partir de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zoomScaleNormal="100" workbookViewId="0"/>
  </sheetViews>
  <sheetFormatPr baseColWidth="10" defaultColWidth="11.28515625" defaultRowHeight="15" x14ac:dyDescent="0.25"/>
  <cols>
    <col min="1" max="1" width="100.42578125" style="275" customWidth="1"/>
    <col min="2" max="2" width="11.28515625" customWidth="1"/>
  </cols>
  <sheetData>
    <row r="1" spans="1:8" ht="23.25" x14ac:dyDescent="0.35">
      <c r="A1" s="16" t="str">
        <f>'Sprache+DB'!C96</f>
        <v>Grangeneuve</v>
      </c>
      <c r="B1" s="276"/>
    </row>
    <row r="4" spans="1:8" ht="30" x14ac:dyDescent="0.25">
      <c r="A4" s="273" t="str">
        <f>'Sprache+DB'!C97</f>
        <v>Développement interne dans le domaine de la garde des animaux de rente
Calculation "marge brute / matière sèche" selon art. 36 OAT</v>
      </c>
      <c r="B4" s="281"/>
      <c r="C4" s="281"/>
      <c r="D4" s="281"/>
      <c r="E4" s="281"/>
      <c r="F4" s="281"/>
      <c r="G4" s="281"/>
      <c r="H4" s="281"/>
    </row>
    <row r="5" spans="1:8" x14ac:dyDescent="0.25">
      <c r="A5" s="281"/>
      <c r="B5" s="281"/>
      <c r="C5" s="281"/>
      <c r="D5" s="281"/>
      <c r="E5" s="281"/>
      <c r="F5" s="281"/>
      <c r="G5" s="281"/>
      <c r="H5" s="281"/>
    </row>
    <row r="6" spans="1:8" s="229" customFormat="1" x14ac:dyDescent="0.25">
      <c r="A6" s="281"/>
      <c r="B6" s="281"/>
      <c r="C6" s="281"/>
      <c r="D6" s="281"/>
      <c r="E6" s="281"/>
      <c r="F6" s="281"/>
      <c r="G6" s="281"/>
      <c r="H6" s="281"/>
    </row>
    <row r="7" spans="1:8" s="229" customFormat="1" x14ac:dyDescent="0.25">
      <c r="A7" s="279" t="str">
        <f>+'Sprache+DB'!C163</f>
        <v>Note explicative:</v>
      </c>
      <c r="B7" s="281"/>
      <c r="C7" s="281"/>
      <c r="D7" s="281"/>
      <c r="E7" s="281"/>
      <c r="F7" s="281"/>
      <c r="G7" s="281"/>
      <c r="H7" s="281"/>
    </row>
    <row r="8" spans="1:8" s="229" customFormat="1" x14ac:dyDescent="0.25">
      <c r="A8" s="279"/>
      <c r="B8" s="281"/>
      <c r="C8" s="281"/>
      <c r="D8" s="281"/>
      <c r="E8" s="281"/>
      <c r="F8" s="281"/>
      <c r="G8" s="281"/>
      <c r="H8" s="281"/>
    </row>
    <row r="10" spans="1:8" ht="15.75" customHeight="1" x14ac:dyDescent="0.25">
      <c r="A10" s="289" t="str">
        <f>'Sprache+DB'!C164</f>
        <v>Le critère de la marge brute (art. 36 al. 1 let. a OAT)</v>
      </c>
      <c r="B10" s="277"/>
    </row>
    <row r="11" spans="1:8" ht="45" x14ac:dyDescent="0.25">
      <c r="A11" s="279" t="str">
        <f>'Sprache+DB'!C165</f>
        <v xml:space="preserve">Pour établir la base de calcul de la comparaison des marges brutes, nous avons intégré toutes les recommandations du document de l'ARE "Critères de la marge brute et de la matière sèche au sens de l'article 36 OAT"1, à savoir : </v>
      </c>
      <c r="B11" s="276"/>
    </row>
    <row r="12" spans="1:8" ht="7.5" customHeight="1" x14ac:dyDescent="0.25"/>
    <row r="13" spans="1:8" x14ac:dyDescent="0.25">
      <c r="A13" s="277" t="str">
        <f>+'Sprache+DB'!C166</f>
        <v>. le calcul avec des valeurs standard</v>
      </c>
    </row>
    <row r="14" spans="1:8" ht="17.25" x14ac:dyDescent="0.25">
      <c r="A14" s="277" t="str">
        <f>+'Sprache+DB'!C167</f>
        <v>. la référence du catalogue des marges brutes</v>
      </c>
      <c r="D14" s="283"/>
    </row>
    <row r="15" spans="1:8" x14ac:dyDescent="0.25">
      <c r="A15" s="277" t="str">
        <f>+'Sprache+DB'!C168</f>
        <v>. les marges brutes avec contributions comme critère d'appréciation</v>
      </c>
    </row>
    <row r="16" spans="1:8" ht="18.75" x14ac:dyDescent="0.25">
      <c r="A16" s="274"/>
    </row>
    <row r="17" spans="1:2" ht="30" customHeight="1" x14ac:dyDescent="0.25">
      <c r="A17" s="279" t="str">
        <f>+'Sprache+DB'!C169</f>
        <v>Dans notre base de calcul, nous tenons également compte d'un mode de production standard en choisissant systématiquement le mode "prestation écologiques requises" (PER).</v>
      </c>
      <c r="B17" s="276"/>
    </row>
    <row r="18" spans="1:2" s="229" customFormat="1" x14ac:dyDescent="0.25">
      <c r="A18" s="279"/>
      <c r="B18" s="276"/>
    </row>
    <row r="19" spans="1:2" ht="18" customHeight="1" x14ac:dyDescent="0.25">
      <c r="A19" s="289" t="str">
        <f>+'Sprache+DB'!C170</f>
        <v>Le critère des matières sèches (art. 36, al. 1, let. b OAT)</v>
      </c>
    </row>
    <row r="20" spans="1:2" ht="60" x14ac:dyDescent="0.25">
      <c r="A20" s="279" t="str">
        <f>+'Sprache+DB'!C171</f>
        <v>Pour contenir les tâches administratives dans des limites raisonnables et, d'autre part, permettre d'apprécier de façon plus objective les demandes de développement interne, l'article 36 OAT impose une comparaison des matières sèches en fonction de valeurs standard. Pour le critère de la matière sèche, nous avons également retenu toutes les recommandations de l'ARE, notamment concernant :</v>
      </c>
      <c r="B20" s="278"/>
    </row>
    <row r="21" spans="1:2" ht="7.5" customHeight="1" x14ac:dyDescent="0.25">
      <c r="A21" s="280"/>
      <c r="B21" s="280"/>
    </row>
    <row r="22" spans="1:2" x14ac:dyDescent="0.25">
      <c r="A22" s="277" t="str">
        <f>+'Sprache+DB'!C172</f>
        <v>. les groupes de cultures</v>
      </c>
    </row>
    <row r="23" spans="1:2" x14ac:dyDescent="0.25">
      <c r="A23" s="277" t="str">
        <f>+'Sprache+DB'!C173</f>
        <v>. les différenciations selon les zones agricoles</v>
      </c>
    </row>
    <row r="25" spans="1:2" ht="45" x14ac:dyDescent="0.25">
      <c r="A25" s="279" t="str">
        <f>+'Sprache+DB'!C174</f>
        <v>Le potentiel de MS (grains, bulbes, tubercules, paille, chaumes, intercultures, etc.) de chacune des cultures est estimé sur la base des valeurs de référence (Suisse-Bilanz, Mémento agricole) et précisé en fonction du cadastre de la production agricole concerné (limites de zones et régions).</v>
      </c>
      <c r="B25" s="279"/>
    </row>
    <row r="26" spans="1:2" s="229" customFormat="1" ht="45" x14ac:dyDescent="0.25">
      <c r="A26" s="279" t="str">
        <f>+'Sprache+DB'!C175</f>
        <v>Les cultures sont rassemblées sous forme de groupes principaux. Une sous pondération par type de culture a été définie à l'intérieur des groupes de culture. Celle-ci repose sur les dernières valeurs statistiques officielles du canton de Fribourg.</v>
      </c>
      <c r="B26" s="279"/>
    </row>
    <row r="27" spans="1:2" s="229" customFormat="1" x14ac:dyDescent="0.25">
      <c r="A27" s="279" t="str">
        <f>+'Sprache+DB'!C176</f>
        <v>Concernant les besoins en MS des catégories d'animaux, nous avons retenu les valeurs standard de l'ARE.</v>
      </c>
      <c r="B27" s="279"/>
    </row>
    <row r="28" spans="1:2" s="229" customFormat="1" x14ac:dyDescent="0.25">
      <c r="A28" s="279"/>
      <c r="B28" s="279"/>
    </row>
    <row r="29" spans="1:2" ht="15.75" customHeight="1" x14ac:dyDescent="0.25">
      <c r="A29" s="289" t="str">
        <f>+'Sprache+DB'!C177</f>
        <v>Traçabilité des données et mises à jour</v>
      </c>
    </row>
    <row r="30" spans="1:2" ht="30" x14ac:dyDescent="0.25">
      <c r="A30" s="279" t="str">
        <f>+'Sprache+DB'!C178</f>
        <v>Les sources et méthodes de détermination de chaque facteur sont précisées dans la table valeur du présent tableur. Par politique de sécurité, cet onglet n'est pas accessible dans la version "utilisateur".</v>
      </c>
    </row>
    <row r="31" spans="1:2" ht="30" x14ac:dyDescent="0.25">
      <c r="A31" s="279" t="str">
        <f>+'Sprache+DB'!C179</f>
        <v>Afin de garantir une bonne stabilité de la planification, la mise à jour des valeurs standard repose sur une moyenne roulante de cinq ans, indexée annuellement.</v>
      </c>
    </row>
    <row r="34" spans="1:2" ht="18.75" x14ac:dyDescent="0.25">
      <c r="A34" s="274"/>
    </row>
    <row r="35" spans="1:2" ht="38.25" x14ac:dyDescent="0.25">
      <c r="A35" s="282" t="str">
        <f>+'Sprache+DB'!C180</f>
        <v>1 "Critères de la marge brute et de la matière sèche au sens de l’article 36 OAT" in Nouveau droit de l'aménagement du territoire. Explications relatives à l'ordonnance sur l'aménagement du territoire et recommandations pour la mise en oeuvre, Office fédéral du développement territorial (2000/01), p. 83-94.</v>
      </c>
      <c r="B35" s="280"/>
    </row>
    <row r="38" spans="1:2" ht="18.75" x14ac:dyDescent="0.25">
      <c r="B38" s="280"/>
    </row>
    <row r="40" spans="1:2" ht="18.75" x14ac:dyDescent="0.25">
      <c r="A40" s="274"/>
    </row>
  </sheetData>
  <sheetProtection algorithmName="SHA-512" hashValue="b0pGi+nf/Y1QfAX4AuwMdgrxNkQD70eRZF/5jvjhXCidy++WUcqnNOF/DpNPjBZrg2YCIKyJ7pSV24wWWy4a0Q==" saltValue="0P9vww1Nykbpqomn/rha7A==" spinCount="100000" sheet="1" formatCells="0" formatColumns="0" formatRows="0" insertColumns="0" insertRows="0" insertHyperlinks="0" deleteColumns="0" deleteRows="0" sort="0" autoFilter="0" pivotTables="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K124"/>
  <sheetViews>
    <sheetView showZeros="0" tabSelected="1" zoomScaleNormal="100" workbookViewId="0"/>
  </sheetViews>
  <sheetFormatPr baseColWidth="10" defaultColWidth="11.42578125" defaultRowHeight="15" x14ac:dyDescent="0.25"/>
  <cols>
    <col min="1" max="1" width="12.5703125" style="91" customWidth="1"/>
    <col min="2" max="2" width="11.42578125" style="91"/>
    <col min="3" max="3" width="13.28515625" style="91" customWidth="1"/>
    <col min="4" max="7" width="11.42578125" style="91"/>
    <col min="8" max="8" width="11.42578125" style="91" customWidth="1"/>
    <col min="9" max="16384" width="11.42578125" style="91"/>
  </cols>
  <sheetData>
    <row r="1" spans="1:10" ht="30.75" x14ac:dyDescent="0.45">
      <c r="A1" s="90"/>
      <c r="B1" s="1"/>
      <c r="C1" s="1"/>
      <c r="D1" s="1"/>
      <c r="G1" s="5"/>
      <c r="H1" s="16" t="str">
        <f>'Sprache+DB'!C96</f>
        <v>Grangeneuve</v>
      </c>
    </row>
    <row r="2" spans="1:10" x14ac:dyDescent="0.25">
      <c r="A2" s="3"/>
      <c r="B2" s="4"/>
      <c r="C2" s="2"/>
      <c r="D2" s="3"/>
      <c r="E2" s="4"/>
      <c r="F2" s="3"/>
      <c r="G2" s="4"/>
      <c r="H2" s="4"/>
    </row>
    <row r="3" spans="1:10" x14ac:dyDescent="0.25">
      <c r="A3" s="328" t="str">
        <f>'Sprache+DB'!C97</f>
        <v>Développement interne dans le domaine de la garde des animaux de rente
Calculation "marge brute / matière sèche" selon art. 36 OAT</v>
      </c>
      <c r="B3" s="328"/>
      <c r="C3" s="328"/>
      <c r="D3" s="328"/>
      <c r="E3" s="328"/>
      <c r="F3" s="328"/>
      <c r="G3" s="328"/>
      <c r="H3" s="328"/>
    </row>
    <row r="4" spans="1:10" x14ac:dyDescent="0.25">
      <c r="A4" s="328"/>
      <c r="B4" s="328"/>
      <c r="C4" s="328"/>
      <c r="D4" s="328"/>
      <c r="E4" s="328"/>
      <c r="F4" s="328"/>
      <c r="G4" s="328"/>
      <c r="H4" s="328"/>
    </row>
    <row r="6" spans="1:10" s="92" customFormat="1" ht="12.75" x14ac:dyDescent="0.2">
      <c r="A6" s="92" t="str">
        <f>'Sprache+DB'!C108</f>
        <v>Auteur: Grangeneuve</v>
      </c>
    </row>
    <row r="7" spans="1:10" s="92" customFormat="1" ht="12.75" x14ac:dyDescent="0.2"/>
    <row r="8" spans="1:10" s="92" customFormat="1" ht="12.75" x14ac:dyDescent="0.2"/>
    <row r="9" spans="1:10" s="92" customFormat="1" ht="12.75" x14ac:dyDescent="0.2"/>
    <row r="10" spans="1:10" s="92" customFormat="1" ht="15" customHeight="1" x14ac:dyDescent="0.2">
      <c r="A10" s="332" t="str">
        <f>'Sprache+DB'!C98</f>
        <v>Forme d'exploitation:</v>
      </c>
      <c r="B10" s="177"/>
      <c r="C10" s="177"/>
      <c r="D10" s="134"/>
      <c r="E10" s="93" t="str">
        <f>'Sprache+DB'!C101</f>
        <v>No. Exploit.:</v>
      </c>
      <c r="F10" s="321"/>
      <c r="G10" s="321"/>
      <c r="H10" s="322"/>
    </row>
    <row r="11" spans="1:10" s="92" customFormat="1" ht="15" customHeight="1" x14ac:dyDescent="0.2">
      <c r="A11" s="333"/>
      <c r="B11" s="323"/>
      <c r="C11" s="323"/>
      <c r="D11" s="329"/>
      <c r="E11" s="94" t="str">
        <f>'Sprache+DB'!C123</f>
        <v>Tél. fixe</v>
      </c>
      <c r="F11" s="323"/>
      <c r="G11" s="323"/>
      <c r="H11" s="324"/>
    </row>
    <row r="12" spans="1:10" s="92" customFormat="1" ht="15" customHeight="1" x14ac:dyDescent="0.2">
      <c r="A12" s="94" t="str">
        <f>'Sprache+DB'!C106</f>
        <v>Nom, prénom:</v>
      </c>
      <c r="B12" s="326"/>
      <c r="C12" s="326"/>
      <c r="D12" s="327"/>
      <c r="E12" s="94" t="str">
        <f>'Sprache+DB'!C99</f>
        <v>Tél mobile:</v>
      </c>
      <c r="F12" s="323"/>
      <c r="G12" s="323"/>
      <c r="H12" s="325"/>
    </row>
    <row r="13" spans="1:10" s="92" customFormat="1" ht="15" customHeight="1" x14ac:dyDescent="0.2">
      <c r="A13" s="94" t="str">
        <f>'Sprache+DB'!C107</f>
        <v>Ferme / rue:</v>
      </c>
      <c r="B13" s="323"/>
      <c r="C13" s="323"/>
      <c r="D13" s="329"/>
      <c r="E13" s="94" t="str">
        <f>'Sprache+DB'!C104</f>
        <v>Courriel:</v>
      </c>
      <c r="F13" s="323"/>
      <c r="G13" s="323"/>
      <c r="H13" s="324"/>
    </row>
    <row r="14" spans="1:10" s="92" customFormat="1" ht="15" customHeight="1" x14ac:dyDescent="0.2">
      <c r="A14" s="94" t="str">
        <f>'Sprache+DB'!C103</f>
        <v>NP / localité:</v>
      </c>
      <c r="B14" s="330"/>
      <c r="C14" s="330"/>
      <c r="D14" s="331"/>
      <c r="E14" s="182" t="str">
        <f>'Sprache+DB'!C105</f>
        <v>Zone prépon.:</v>
      </c>
      <c r="F14" s="95" t="str">
        <f>VLOOKUP(Auswahl!$A$1,Auswahl!$A$11:$B$15,2,FALSE)</f>
        <v>31 Zone de plaine</v>
      </c>
      <c r="G14" s="96"/>
      <c r="H14" s="97"/>
    </row>
    <row r="15" spans="1:10" s="92" customFormat="1" ht="12.75" x14ac:dyDescent="0.2">
      <c r="F15" s="98"/>
      <c r="G15" s="98"/>
      <c r="H15" s="98"/>
    </row>
    <row r="16" spans="1:10" s="92" customFormat="1" ht="25.5" x14ac:dyDescent="0.2">
      <c r="A16" s="334" t="str">
        <f>'Sprache+DB'!C4</f>
        <v>Cultures</v>
      </c>
      <c r="B16" s="335"/>
      <c r="C16" s="335"/>
      <c r="D16" s="126" t="str">
        <f>'Sprache+DB'!C121</f>
        <v>SAU</v>
      </c>
      <c r="E16" s="126" t="str">
        <f>'Sprache+DB'!C110</f>
        <v>MB / unité</v>
      </c>
      <c r="F16" s="126" t="str">
        <f>'Sprache+DB'!C111</f>
        <v>MB totale</v>
      </c>
      <c r="G16" s="126" t="str">
        <f>'Sprache+DB'!C112</f>
        <v>Potentiel en MS par unité</v>
      </c>
      <c r="H16" s="99" t="str">
        <f>'Sprache+DB'!C115</f>
        <v>Potentiel total en MS</v>
      </c>
      <c r="J16" s="198" t="str">
        <f>'Sprache+DB'!C161</f>
        <v>Excédent (+) ou manque (-) de fourrage (test de plausibilité)</v>
      </c>
    </row>
    <row r="17" spans="1:10" s="92" customFormat="1" ht="12.75" x14ac:dyDescent="0.2">
      <c r="A17" s="336" t="str">
        <f>'Sprache+DB'!C5</f>
        <v/>
      </c>
      <c r="B17" s="337"/>
      <c r="C17" s="338"/>
      <c r="D17" s="100" t="s">
        <v>257</v>
      </c>
      <c r="E17" s="100" t="s">
        <v>2</v>
      </c>
      <c r="F17" s="100" t="s">
        <v>3</v>
      </c>
      <c r="G17" s="100" t="str">
        <f>'Sprache+DB'!C113</f>
        <v>dt MS / ha</v>
      </c>
      <c r="H17" s="100" t="str">
        <f>'Sprache+DB'!C114</f>
        <v xml:space="preserve">dt MS </v>
      </c>
      <c r="J17" s="189">
        <f>(H18+H20+H22+H25+H33+H34)-SUM(H39:H65)</f>
        <v>0</v>
      </c>
    </row>
    <row r="18" spans="1:10" s="92" customFormat="1" ht="12.75" x14ac:dyDescent="0.2">
      <c r="A18" s="316" t="str">
        <f>'Sprache+DB'!C6</f>
        <v>Prairies intensives</v>
      </c>
      <c r="B18" s="317"/>
      <c r="C18" s="318"/>
      <c r="D18" s="127"/>
      <c r="E18" s="101">
        <f>'Sprache+DB'!F6</f>
        <v>410</v>
      </c>
      <c r="F18" s="101">
        <f t="shared" ref="F18:F26" si="0">D18*E18</f>
        <v>0</v>
      </c>
      <c r="G18" s="101">
        <f>HLOOKUP(Auswahl!$A$1,'Werte TS'!$C$6:$G$20,'Werte TS'!A7,FALSE)</f>
        <v>135</v>
      </c>
      <c r="H18" s="101">
        <f t="shared" ref="H18:H26" si="1">G18*D18</f>
        <v>0</v>
      </c>
    </row>
    <row r="19" spans="1:10" s="92" customFormat="1" ht="12.75" x14ac:dyDescent="0.2">
      <c r="A19" s="339" t="str">
        <f>'Sprache+DB'!C7</f>
        <v>Prairies intensives, vente de fourrages</v>
      </c>
      <c r="B19" s="340"/>
      <c r="C19" s="341"/>
      <c r="D19" s="127"/>
      <c r="E19" s="101">
        <f>'Sprache+DB'!F7</f>
        <v>3260</v>
      </c>
      <c r="F19" s="101">
        <f t="shared" si="0"/>
        <v>0</v>
      </c>
      <c r="G19" s="101">
        <f>HLOOKUP(Auswahl!$A$1,'Werte TS'!$C$6:$G$20,'Werte TS'!A8,FALSE)</f>
        <v>135</v>
      </c>
      <c r="H19" s="101">
        <f t="shared" si="1"/>
        <v>0</v>
      </c>
    </row>
    <row r="20" spans="1:10" s="92" customFormat="1" ht="12.75" x14ac:dyDescent="0.2">
      <c r="A20" s="316" t="str">
        <f>'Sprache+DB'!C8</f>
        <v>Prairies SPB peu intensives</v>
      </c>
      <c r="B20" s="317"/>
      <c r="C20" s="318"/>
      <c r="D20" s="127"/>
      <c r="E20" s="101">
        <f>'Sprache+DB'!F8</f>
        <v>850</v>
      </c>
      <c r="F20" s="101">
        <f t="shared" si="0"/>
        <v>0</v>
      </c>
      <c r="G20" s="101">
        <f>HLOOKUP(Auswahl!$A$1,'Werte TS'!$C$6:$G$20,'Werte TS'!A9,FALSE)</f>
        <v>65</v>
      </c>
      <c r="H20" s="101">
        <f t="shared" si="1"/>
        <v>0</v>
      </c>
    </row>
    <row r="21" spans="1:10" s="92" customFormat="1" ht="12.75" x14ac:dyDescent="0.2">
      <c r="A21" s="339" t="str">
        <f>'Sprache+DB'!C9</f>
        <v>Prairies SPB peu intensives, vente de fourrages</v>
      </c>
      <c r="B21" s="340"/>
      <c r="C21" s="341"/>
      <c r="D21" s="127"/>
      <c r="E21" s="101">
        <f>'Sprache+DB'!F9</f>
        <v>2480</v>
      </c>
      <c r="F21" s="101">
        <f t="shared" si="0"/>
        <v>0</v>
      </c>
      <c r="G21" s="101">
        <f>HLOOKUP(Auswahl!$A$1,'Werte TS'!$C$6:$G$20,'Werte TS'!A10,FALSE)</f>
        <v>65</v>
      </c>
      <c r="H21" s="101">
        <f t="shared" si="1"/>
        <v>0</v>
      </c>
    </row>
    <row r="22" spans="1:10" s="92" customFormat="1" ht="12.75" x14ac:dyDescent="0.2">
      <c r="A22" s="316" t="str">
        <f>'Sprache+DB'!C10</f>
        <v>Prairies SPB extensives</v>
      </c>
      <c r="B22" s="317"/>
      <c r="C22" s="318"/>
      <c r="D22" s="127"/>
      <c r="E22" s="101">
        <f>'Sprache+DB'!F10</f>
        <v>1680</v>
      </c>
      <c r="F22" s="101">
        <f t="shared" si="0"/>
        <v>0</v>
      </c>
      <c r="G22" s="101">
        <f>HLOOKUP(Auswahl!$A$1,'Werte TS'!$C$6:$G$20,'Werte TS'!A11,FALSE)</f>
        <v>30</v>
      </c>
      <c r="H22" s="101">
        <f t="shared" si="1"/>
        <v>0</v>
      </c>
    </row>
    <row r="23" spans="1:10" s="92" customFormat="1" ht="12.75" x14ac:dyDescent="0.2">
      <c r="A23" s="339" t="str">
        <f>'Sprache+DB'!C11</f>
        <v>Prairies SPB extensives, vente de fourrages</v>
      </c>
      <c r="B23" s="340"/>
      <c r="C23" s="341"/>
      <c r="D23" s="127"/>
      <c r="E23" s="101">
        <f>'Sprache+DB'!F11</f>
        <v>2280</v>
      </c>
      <c r="F23" s="101">
        <f t="shared" si="0"/>
        <v>0</v>
      </c>
      <c r="G23" s="101">
        <f>HLOOKUP(Auswahl!$A$1,'Werte TS'!$C$6:$G$20,'Werte TS'!A12,FALSE)</f>
        <v>30</v>
      </c>
      <c r="H23" s="101">
        <f t="shared" si="1"/>
        <v>0</v>
      </c>
    </row>
    <row r="24" spans="1:10" s="92" customFormat="1" ht="12.75" x14ac:dyDescent="0.2">
      <c r="A24" s="316" t="str">
        <f>'Sprache+DB'!C12</f>
        <v>Céréales, protéagineux, oléagineux</v>
      </c>
      <c r="B24" s="317"/>
      <c r="C24" s="318"/>
      <c r="D24" s="127"/>
      <c r="E24" s="101">
        <f>'Sprache+DB'!F12</f>
        <v>2940</v>
      </c>
      <c r="F24" s="101">
        <f t="shared" si="0"/>
        <v>0</v>
      </c>
      <c r="G24" s="101">
        <f>HLOOKUP(Auswahl!$A$1,'Werte TS'!$C$6:$G$20,'Werte TS'!A13,FALSE)</f>
        <v>110</v>
      </c>
      <c r="H24" s="101">
        <f t="shared" si="1"/>
        <v>0</v>
      </c>
    </row>
    <row r="25" spans="1:10" s="92" customFormat="1" ht="12.75" x14ac:dyDescent="0.2">
      <c r="A25" s="342" t="str">
        <f>'Sprache+DB'!C13</f>
        <v>Maïs affouragé et betteraves fourragères</v>
      </c>
      <c r="B25" s="343"/>
      <c r="C25" s="344"/>
      <c r="D25" s="127"/>
      <c r="E25" s="101">
        <f>'Sprache+DB'!F13</f>
        <v>-300</v>
      </c>
      <c r="F25" s="101">
        <f t="shared" si="0"/>
        <v>0</v>
      </c>
      <c r="G25" s="101">
        <f>HLOOKUP(Auswahl!$A$1,'Werte TS'!$C$6:$G$20,'Werte TS'!A14,FALSE)</f>
        <v>160</v>
      </c>
      <c r="H25" s="101">
        <f>G25*D25</f>
        <v>0</v>
      </c>
    </row>
    <row r="26" spans="1:10" s="92" customFormat="1" ht="12.75" x14ac:dyDescent="0.2">
      <c r="A26" s="342" t="str">
        <f>'Sprache+DB'!C14</f>
        <v>Maïs affouragé / betteraves fourragères (vente)</v>
      </c>
      <c r="B26" s="343"/>
      <c r="C26" s="344"/>
      <c r="D26" s="127"/>
      <c r="E26" s="101">
        <f>'Sprache+DB'!F14</f>
        <v>2950</v>
      </c>
      <c r="F26" s="101">
        <f t="shared" si="0"/>
        <v>0</v>
      </c>
      <c r="G26" s="101">
        <f>HLOOKUP(Auswahl!$A$1,'Werte TS'!$C$6:$G$20,'Werte TS'!A15,FALSE)</f>
        <v>160</v>
      </c>
      <c r="H26" s="101">
        <f t="shared" si="1"/>
        <v>0</v>
      </c>
    </row>
    <row r="27" spans="1:10" s="92" customFormat="1" ht="12.75" x14ac:dyDescent="0.2">
      <c r="A27" s="316" t="str">
        <f>'Sprache+DB'!C15</f>
        <v>Maïs grain, betteraves sucrières, patates</v>
      </c>
      <c r="B27" s="317"/>
      <c r="C27" s="318"/>
      <c r="D27" s="127"/>
      <c r="E27" s="101">
        <f>'Sprache+DB'!F15</f>
        <v>5220</v>
      </c>
      <c r="F27" s="101">
        <f t="shared" ref="F27:F34" si="2">D27*E27</f>
        <v>0</v>
      </c>
      <c r="G27" s="101">
        <f>HLOOKUP(Auswahl!$A$1,'Werte TS'!$C$6:$G$20,'Werte TS'!A16,FALSE)</f>
        <v>150</v>
      </c>
      <c r="H27" s="101">
        <f t="shared" ref="H27:H32" si="3">G27*D27</f>
        <v>0</v>
      </c>
    </row>
    <row r="28" spans="1:10" s="92" customFormat="1" ht="12.75" x14ac:dyDescent="0.2">
      <c r="A28" s="316" t="str">
        <f>'Sprache+DB'!C16</f>
        <v>Légumes en plein champ</v>
      </c>
      <c r="B28" s="317"/>
      <c r="C28" s="318"/>
      <c r="D28" s="127"/>
      <c r="E28" s="101">
        <f>'Sprache+DB'!F16</f>
        <v>48330</v>
      </c>
      <c r="F28" s="101">
        <f t="shared" si="2"/>
        <v>0</v>
      </c>
      <c r="G28" s="101">
        <f>HLOOKUP(Auswahl!$A$1,'Werte TS'!$C$6:$G$20,'Werte TS'!A17,FALSE)</f>
        <v>70</v>
      </c>
      <c r="H28" s="101">
        <f t="shared" si="3"/>
        <v>0</v>
      </c>
    </row>
    <row r="29" spans="1:10" s="92" customFormat="1" ht="12.75" x14ac:dyDescent="0.2">
      <c r="A29" s="316" t="str">
        <f>'Sprache+DB'!C17</f>
        <v>Cultures pérennes</v>
      </c>
      <c r="B29" s="317"/>
      <c r="C29" s="318"/>
      <c r="D29" s="127"/>
      <c r="E29" s="101">
        <f>'Sprache+DB'!F17</f>
        <v>24020</v>
      </c>
      <c r="F29" s="101">
        <f t="shared" si="2"/>
        <v>0</v>
      </c>
      <c r="G29" s="101">
        <f>HLOOKUP(Auswahl!$A$1,'Werte TS'!$C$6:$G$20,'Werte TS'!A18,FALSE)</f>
        <v>30</v>
      </c>
      <c r="H29" s="101">
        <f t="shared" si="3"/>
        <v>0</v>
      </c>
    </row>
    <row r="30" spans="1:10" s="92" customFormat="1" ht="12.75" x14ac:dyDescent="0.2">
      <c r="A30" s="316" t="str">
        <f>'Sprache+DB'!C18</f>
        <v>Jachère florale ou tournante</v>
      </c>
      <c r="B30" s="317"/>
      <c r="C30" s="318"/>
      <c r="D30" s="127"/>
      <c r="E30" s="101">
        <f>'Sprache+DB'!F18</f>
        <v>3060</v>
      </c>
      <c r="F30" s="101">
        <f t="shared" si="2"/>
        <v>0</v>
      </c>
      <c r="G30" s="101">
        <f>HLOOKUP(Auswahl!$A$1,'Werte TS'!$C$6:$G$20,'Werte TS'!A19,FALSE)</f>
        <v>0</v>
      </c>
      <c r="H30" s="101">
        <f>G30*D30</f>
        <v>0</v>
      </c>
    </row>
    <row r="31" spans="1:10" s="92" customFormat="1" ht="12.75" x14ac:dyDescent="0.2">
      <c r="A31" s="316" t="str">
        <f>'Sprache+DB'!C19</f>
        <v>Tabac</v>
      </c>
      <c r="B31" s="317"/>
      <c r="C31" s="318"/>
      <c r="D31" s="127"/>
      <c r="E31" s="101">
        <f>'Sprache+DB'!F19</f>
        <v>26360</v>
      </c>
      <c r="F31" s="101">
        <f t="shared" si="2"/>
        <v>0</v>
      </c>
      <c r="G31" s="101">
        <f>HLOOKUP(Auswahl!$A$1,'Werte TS'!$C$6:$G$20,'Werte TS'!A20,FALSE)</f>
        <v>50</v>
      </c>
      <c r="H31" s="101">
        <f t="shared" si="3"/>
        <v>0</v>
      </c>
    </row>
    <row r="32" spans="1:10" s="92" customFormat="1" ht="12.75" x14ac:dyDescent="0.2">
      <c r="A32" s="316" t="str">
        <f>'Sprache+DB'!C23</f>
        <v>Autres surfaces SAU (haies, litière,…)</v>
      </c>
      <c r="B32" s="317"/>
      <c r="C32" s="318"/>
      <c r="D32" s="127"/>
      <c r="E32" s="101">
        <f>'Sprache+DB'!F23</f>
        <v>0</v>
      </c>
      <c r="F32" s="101">
        <f t="shared" si="2"/>
        <v>0</v>
      </c>
      <c r="G32" s="101">
        <f>HLOOKUP(Auswahl!$A$1,'Werte TS'!$C$6:$G$21,'Werte TS'!A21,FALSE)</f>
        <v>0</v>
      </c>
      <c r="H32" s="101">
        <f t="shared" si="3"/>
        <v>0</v>
      </c>
    </row>
    <row r="33" spans="1:8" s="92" customFormat="1" ht="12.75" x14ac:dyDescent="0.2">
      <c r="A33" s="316" t="str">
        <f>'Sprache+DB'!C20</f>
        <v>Coupe de printemps avant rompue (Hors SAU)</v>
      </c>
      <c r="B33" s="317"/>
      <c r="C33" s="318"/>
      <c r="D33" s="127"/>
      <c r="E33" s="101">
        <f>'Sprache+DB'!F20</f>
        <v>0</v>
      </c>
      <c r="F33" s="101">
        <f t="shared" si="2"/>
        <v>0</v>
      </c>
      <c r="G33" s="101">
        <f>HLOOKUP(Auswahl!$A$1,'Werte TS'!$C$6:$G$22,'Werte TS'!A22,FALSE)</f>
        <v>25</v>
      </c>
      <c r="H33" s="101">
        <f>D33*G33</f>
        <v>0</v>
      </c>
    </row>
    <row r="34" spans="1:8" s="92" customFormat="1" ht="12.75" x14ac:dyDescent="0.2">
      <c r="A34" s="316" t="str">
        <f>'Sprache+DB'!C21</f>
        <v>Dérobées ou semis d'août de PT (Hors SAU)</v>
      </c>
      <c r="B34" s="317"/>
      <c r="C34" s="318"/>
      <c r="D34" s="127"/>
      <c r="E34" s="101">
        <f>'Sprache+DB'!F21</f>
        <v>-680</v>
      </c>
      <c r="F34" s="101">
        <f t="shared" si="2"/>
        <v>0</v>
      </c>
      <c r="G34" s="101">
        <f>HLOOKUP(Auswahl!$A$1,'Werte TS'!$C$6:$G$23,'Werte TS'!A23,FALSE)</f>
        <v>25</v>
      </c>
      <c r="H34" s="101">
        <f>D34*G34</f>
        <v>0</v>
      </c>
    </row>
    <row r="35" spans="1:8" s="92" customFormat="1" ht="12.75" customHeight="1" x14ac:dyDescent="0.2">
      <c r="A35" s="345" t="s">
        <v>137</v>
      </c>
      <c r="B35" s="346"/>
      <c r="C35" s="347"/>
      <c r="D35" s="128">
        <f>SUM(D18:D32)</f>
        <v>0</v>
      </c>
      <c r="E35" s="103"/>
      <c r="F35" s="103">
        <f>ROUND(SUM(F18:F32),-3)</f>
        <v>0</v>
      </c>
      <c r="G35" s="102"/>
      <c r="H35" s="103">
        <f>ROUND(SUM(H18:H34),-2)</f>
        <v>0</v>
      </c>
    </row>
    <row r="36" spans="1:8" s="92" customFormat="1" ht="12.75" x14ac:dyDescent="0.2">
      <c r="E36" s="104"/>
      <c r="F36" s="104"/>
      <c r="H36" s="104"/>
    </row>
    <row r="37" spans="1:8" s="92" customFormat="1" ht="12.75" customHeight="1" x14ac:dyDescent="0.2">
      <c r="A37" s="301" t="str">
        <f>'Sprache+DB'!C24</f>
        <v>Animaux</v>
      </c>
      <c r="B37" s="302"/>
      <c r="C37" s="303"/>
      <c r="D37" s="299" t="str">
        <f>'Sprache+DB'!C119</f>
        <v>Nombres*</v>
      </c>
      <c r="E37" s="295" t="str">
        <f>E16</f>
        <v>MB / unité</v>
      </c>
      <c r="F37" s="297" t="str">
        <f>F16</f>
        <v>MB totale</v>
      </c>
      <c r="G37" s="293" t="str">
        <f>'Sprache+DB'!C120</f>
        <v>Besoin en MS par unité</v>
      </c>
      <c r="H37" s="291" t="str">
        <f>'Sprache+DB'!C117</f>
        <v>Besoin en MS total</v>
      </c>
    </row>
    <row r="38" spans="1:8" s="92" customFormat="1" ht="12.75" x14ac:dyDescent="0.2">
      <c r="A38" s="301" t="str">
        <f>'Sprache+DB'!C25</f>
        <v>Bétail consom. du fourrage grossier</v>
      </c>
      <c r="B38" s="302"/>
      <c r="C38" s="303"/>
      <c r="D38" s="300"/>
      <c r="E38" s="296"/>
      <c r="F38" s="298"/>
      <c r="G38" s="294"/>
      <c r="H38" s="292"/>
    </row>
    <row r="39" spans="1:8" s="92" customFormat="1" ht="12.75" x14ac:dyDescent="0.2">
      <c r="A39" s="316" t="str">
        <f>'Sprache+DB'!C26</f>
        <v>Vaches laitières &lt; 7000 kg</v>
      </c>
      <c r="B39" s="317"/>
      <c r="C39" s="318"/>
      <c r="D39" s="89"/>
      <c r="E39" s="101">
        <f>'Sprache+DB'!F26</f>
        <v>3960</v>
      </c>
      <c r="F39" s="101">
        <f>IF(E39="-",0,ROUNDDOWN(D39,0)*E39)</f>
        <v>0</v>
      </c>
      <c r="G39" s="105">
        <v>62.1</v>
      </c>
      <c r="H39" s="101">
        <f t="shared" ref="H39:H46" si="4">$G39*ROUNDDOWN(D39,0)-((D39-ROUNDDOWN(D39,0))*100*$G39*110/365)</f>
        <v>0</v>
      </c>
    </row>
    <row r="40" spans="1:8" s="92" customFormat="1" ht="12.75" x14ac:dyDescent="0.2">
      <c r="A40" s="316" t="str">
        <f>'Sprache+DB'!C27</f>
        <v>Vaches laitières ≥ 7000 kg</v>
      </c>
      <c r="B40" s="317"/>
      <c r="C40" s="318"/>
      <c r="D40" s="89"/>
      <c r="E40" s="106">
        <f>'Sprache+DB'!F27</f>
        <v>4860</v>
      </c>
      <c r="F40" s="101">
        <f t="shared" ref="F40:F65" si="5">IF(E40="-",0,ROUNDDOWN(D40,0)*E40)</f>
        <v>0</v>
      </c>
      <c r="G40" s="105">
        <v>69.400000000000006</v>
      </c>
      <c r="H40" s="101">
        <f t="shared" si="4"/>
        <v>0</v>
      </c>
    </row>
    <row r="41" spans="1:8" s="92" customFormat="1" ht="12.75" customHeight="1" x14ac:dyDescent="0.2">
      <c r="A41" s="316" t="str">
        <f>'Sprache+DB'!C28</f>
        <v>Vaches allaitantes y c. veau</v>
      </c>
      <c r="B41" s="317"/>
      <c r="C41" s="318"/>
      <c r="D41" s="89"/>
      <c r="E41" s="106">
        <f>'Sprache+DB'!F28</f>
        <v>2100</v>
      </c>
      <c r="F41" s="101">
        <f t="shared" si="5"/>
        <v>0</v>
      </c>
      <c r="G41" s="105">
        <v>55.2</v>
      </c>
      <c r="H41" s="101">
        <f t="shared" si="4"/>
        <v>0</v>
      </c>
    </row>
    <row r="42" spans="1:8" s="92" customFormat="1" ht="12.75" x14ac:dyDescent="0.2">
      <c r="A42" s="316" t="str">
        <f>'Sprache+DB'!C29</f>
        <v>Bovins d'élevage &gt; 2 ans</v>
      </c>
      <c r="B42" s="317"/>
      <c r="C42" s="318"/>
      <c r="D42" s="89"/>
      <c r="E42" s="106">
        <f>'Sprache+DB'!F29</f>
        <v>1010</v>
      </c>
      <c r="F42" s="101">
        <f t="shared" si="5"/>
        <v>0</v>
      </c>
      <c r="G42" s="105">
        <v>40.200000000000003</v>
      </c>
      <c r="H42" s="101">
        <f t="shared" si="4"/>
        <v>0</v>
      </c>
    </row>
    <row r="43" spans="1:8" s="92" customFormat="1" ht="12.75" x14ac:dyDescent="0.2">
      <c r="A43" s="316" t="str">
        <f>'Sprache+DB'!C30</f>
        <v>Bovins d'élevage 1-2 ans</v>
      </c>
      <c r="B43" s="317"/>
      <c r="C43" s="318"/>
      <c r="D43" s="89"/>
      <c r="E43" s="106">
        <f>'Sprache+DB'!F30</f>
        <v>0</v>
      </c>
      <c r="F43" s="101">
        <f t="shared" si="5"/>
        <v>0</v>
      </c>
      <c r="G43" s="105">
        <v>25.6</v>
      </c>
      <c r="H43" s="101">
        <f t="shared" si="4"/>
        <v>0</v>
      </c>
    </row>
    <row r="44" spans="1:8" s="92" customFormat="1" ht="12.75" customHeight="1" x14ac:dyDescent="0.2">
      <c r="A44" s="316" t="str">
        <f>'Sprache+DB'!C31</f>
        <v>Veaux 160 jours - 1 an</v>
      </c>
      <c r="B44" s="317"/>
      <c r="C44" s="318"/>
      <c r="D44" s="89"/>
      <c r="E44" s="106">
        <f>'Sprache+DB'!F31</f>
        <v>0</v>
      </c>
      <c r="F44" s="101">
        <f t="shared" si="5"/>
        <v>0</v>
      </c>
      <c r="G44" s="105">
        <v>16.399999999999999</v>
      </c>
      <c r="H44" s="101">
        <f t="shared" si="4"/>
        <v>0</v>
      </c>
    </row>
    <row r="45" spans="1:8" s="92" customFormat="1" ht="12.75" x14ac:dyDescent="0.2">
      <c r="A45" s="316" t="str">
        <f>'Sprache+DB'!C32</f>
        <v>Veaux &lt; 160 jours</v>
      </c>
      <c r="B45" s="317"/>
      <c r="C45" s="318"/>
      <c r="D45" s="89"/>
      <c r="E45" s="106">
        <f>'Sprache+DB'!F32</f>
        <v>0</v>
      </c>
      <c r="F45" s="101">
        <f t="shared" si="5"/>
        <v>0</v>
      </c>
      <c r="G45" s="105">
        <v>9.1</v>
      </c>
      <c r="H45" s="101">
        <f t="shared" si="4"/>
        <v>0</v>
      </c>
    </row>
    <row r="46" spans="1:8" s="92" customFormat="1" ht="12.75" x14ac:dyDescent="0.2">
      <c r="A46" s="196" t="str">
        <f>'Sprache+DB'!C33</f>
        <v>Génisses en pension (durée 24 mois)</v>
      </c>
      <c r="B46" s="186"/>
      <c r="C46" s="187"/>
      <c r="D46" s="89"/>
      <c r="E46" s="106">
        <f>'Sprache+DB'!F33</f>
        <v>990</v>
      </c>
      <c r="F46" s="101">
        <f t="shared" si="5"/>
        <v>0</v>
      </c>
      <c r="G46" s="183">
        <f>7/24*G44+12/24*G43+5/24*G42</f>
        <v>25.958333333333336</v>
      </c>
      <c r="H46" s="101">
        <f t="shared" si="4"/>
        <v>0</v>
      </c>
    </row>
    <row r="47" spans="1:8" s="92" customFormat="1" ht="12.75" x14ac:dyDescent="0.2">
      <c r="A47" s="316" t="str">
        <f>'Sprache+DB'!C34</f>
        <v>Bovins d'engraissement &gt;160 jours</v>
      </c>
      <c r="B47" s="317"/>
      <c r="C47" s="318"/>
      <c r="D47" s="89"/>
      <c r="E47" s="106">
        <f>'Sprache+DB'!F34</f>
        <v>1070</v>
      </c>
      <c r="F47" s="101">
        <f t="shared" si="5"/>
        <v>0</v>
      </c>
      <c r="G47" s="105">
        <v>20.100000000000001</v>
      </c>
      <c r="H47" s="101">
        <f t="shared" ref="H47:H65" si="6">D47*G47</f>
        <v>0</v>
      </c>
    </row>
    <row r="48" spans="1:8" s="92" customFormat="1" ht="12.75" customHeight="1" x14ac:dyDescent="0.2">
      <c r="A48" s="316" t="str">
        <f>'Sprache+DB'!C35</f>
        <v>Veaux à l'engrais (lait entier)</v>
      </c>
      <c r="B48" s="317"/>
      <c r="C48" s="318"/>
      <c r="D48" s="89"/>
      <c r="E48" s="106">
        <f>'Sprache+DB'!F35</f>
        <v>140</v>
      </c>
      <c r="F48" s="101">
        <f t="shared" si="5"/>
        <v>0</v>
      </c>
      <c r="G48" s="183">
        <v>3</v>
      </c>
      <c r="H48" s="101">
        <f t="shared" si="6"/>
        <v>0</v>
      </c>
    </row>
    <row r="49" spans="1:8" s="92" customFormat="1" ht="12.75" x14ac:dyDescent="0.2">
      <c r="A49" s="316" t="str">
        <f>'Sprache+DB'!C36</f>
        <v>Chevaux &gt; 3 ans (toute utilisation)</v>
      </c>
      <c r="B49" s="317"/>
      <c r="C49" s="318"/>
      <c r="D49" s="89"/>
      <c r="E49" s="106">
        <f>'Sprache+DB'!F36</f>
        <v>2450</v>
      </c>
      <c r="F49" s="101">
        <f t="shared" si="5"/>
        <v>0</v>
      </c>
      <c r="G49" s="105">
        <v>29.2</v>
      </c>
      <c r="H49" s="101">
        <f t="shared" si="6"/>
        <v>0</v>
      </c>
    </row>
    <row r="50" spans="1:8" s="92" customFormat="1" ht="12.75" x14ac:dyDescent="0.2">
      <c r="A50" s="316" t="str">
        <f>'Sprache+DB'!C37</f>
        <v>Chevaux 1-3 ans (toute utilisation)</v>
      </c>
      <c r="B50" s="317"/>
      <c r="C50" s="318"/>
      <c r="D50" s="89"/>
      <c r="E50" s="106">
        <f>'Sprache+DB'!F37</f>
        <v>0</v>
      </c>
      <c r="F50" s="101">
        <f t="shared" si="5"/>
        <v>0</v>
      </c>
      <c r="G50" s="105">
        <v>23.7</v>
      </c>
      <c r="H50" s="101">
        <f t="shared" si="6"/>
        <v>0</v>
      </c>
    </row>
    <row r="51" spans="1:8" s="92" customFormat="1" ht="12.75" customHeight="1" x14ac:dyDescent="0.2">
      <c r="A51" s="316" t="str">
        <f>'Sprache+DB'!C38</f>
        <v>Poulains</v>
      </c>
      <c r="B51" s="317"/>
      <c r="C51" s="318"/>
      <c r="D51" s="89"/>
      <c r="E51" s="106">
        <f>'Sprache+DB'!F38</f>
        <v>0</v>
      </c>
      <c r="F51" s="101">
        <f t="shared" si="5"/>
        <v>0</v>
      </c>
      <c r="G51" s="105">
        <v>5.5</v>
      </c>
      <c r="H51" s="101">
        <f t="shared" si="6"/>
        <v>0</v>
      </c>
    </row>
    <row r="52" spans="1:8" s="92" customFormat="1" ht="12.75" x14ac:dyDescent="0.2">
      <c r="A52" s="316" t="str">
        <f>'Sprache+DB'!C39</f>
        <v>Brebis traites</v>
      </c>
      <c r="B52" s="317"/>
      <c r="C52" s="318"/>
      <c r="D52" s="89"/>
      <c r="E52" s="106">
        <f>'Sprache+DB'!F39</f>
        <v>920</v>
      </c>
      <c r="F52" s="101">
        <f t="shared" si="5"/>
        <v>0</v>
      </c>
      <c r="G52" s="105">
        <v>9.1</v>
      </c>
      <c r="H52" s="101">
        <f t="shared" si="6"/>
        <v>0</v>
      </c>
    </row>
    <row r="53" spans="1:8" s="92" customFormat="1" ht="12.75" x14ac:dyDescent="0.2">
      <c r="A53" s="316" t="str">
        <f>'Sprache+DB'!C40</f>
        <v>Autres moutons &gt;1 an / bélier</v>
      </c>
      <c r="B53" s="317"/>
      <c r="C53" s="318"/>
      <c r="D53" s="89"/>
      <c r="E53" s="106">
        <f>'Sprache+DB'!F40</f>
        <v>270</v>
      </c>
      <c r="F53" s="101">
        <f t="shared" si="5"/>
        <v>0</v>
      </c>
      <c r="G53" s="105">
        <v>6.6</v>
      </c>
      <c r="H53" s="101">
        <f t="shared" si="6"/>
        <v>0</v>
      </c>
    </row>
    <row r="54" spans="1:8" s="92" customFormat="1" ht="12.75" x14ac:dyDescent="0.2">
      <c r="A54" s="316" t="str">
        <f>'Sprache+DB'!C41</f>
        <v>Agneaux &lt; 1 an</v>
      </c>
      <c r="B54" s="317"/>
      <c r="C54" s="318"/>
      <c r="D54" s="89"/>
      <c r="E54" s="106">
        <f>'Sprache+DB'!F41</f>
        <v>0</v>
      </c>
      <c r="F54" s="101">
        <f t="shared" si="5"/>
        <v>0</v>
      </c>
      <c r="G54" s="105">
        <v>4.4000000000000004</v>
      </c>
      <c r="H54" s="101">
        <f t="shared" si="6"/>
        <v>0</v>
      </c>
    </row>
    <row r="55" spans="1:8" s="92" customFormat="1" ht="12.75" x14ac:dyDescent="0.2">
      <c r="A55" s="316" t="str">
        <f>'Sprache+DB'!C42</f>
        <v xml:space="preserve">Chèvres traites </v>
      </c>
      <c r="B55" s="317"/>
      <c r="C55" s="318"/>
      <c r="D55" s="89"/>
      <c r="E55" s="106">
        <f>'Sprache+DB'!F42</f>
        <v>940</v>
      </c>
      <c r="F55" s="101">
        <f t="shared" si="5"/>
        <v>0</v>
      </c>
      <c r="G55" s="105">
        <v>7.3</v>
      </c>
      <c r="H55" s="101">
        <f t="shared" si="6"/>
        <v>0</v>
      </c>
    </row>
    <row r="56" spans="1:8" s="92" customFormat="1" ht="12.75" x14ac:dyDescent="0.2">
      <c r="A56" s="316" t="str">
        <f>'Sprache+DB'!C43</f>
        <v>Autres chèvres &gt; 1 an / Bouc</v>
      </c>
      <c r="B56" s="317"/>
      <c r="C56" s="318"/>
      <c r="D56" s="89"/>
      <c r="E56" s="106">
        <f>'Sprache+DB'!F43</f>
        <v>0</v>
      </c>
      <c r="F56" s="101">
        <f t="shared" si="5"/>
        <v>0</v>
      </c>
      <c r="G56" s="105">
        <v>5.8</v>
      </c>
      <c r="H56" s="101">
        <f t="shared" si="6"/>
        <v>0</v>
      </c>
    </row>
    <row r="57" spans="1:8" s="92" customFormat="1" ht="12.75" x14ac:dyDescent="0.2">
      <c r="A57" s="316" t="str">
        <f>'Sprache+DB'!C44</f>
        <v>Chevreaux &lt; 1 an</v>
      </c>
      <c r="B57" s="317"/>
      <c r="C57" s="318"/>
      <c r="D57" s="89"/>
      <c r="E57" s="106">
        <f>'Sprache+DB'!F44</f>
        <v>0</v>
      </c>
      <c r="F57" s="101">
        <f t="shared" si="5"/>
        <v>0</v>
      </c>
      <c r="G57" s="105">
        <v>3.7</v>
      </c>
      <c r="H57" s="101">
        <f t="shared" si="6"/>
        <v>0</v>
      </c>
    </row>
    <row r="58" spans="1:8" s="92" customFormat="1" ht="12.75" x14ac:dyDescent="0.2">
      <c r="A58" s="316" t="str">
        <f>'Sprache+DB'!C45</f>
        <v>Daims</v>
      </c>
      <c r="B58" s="317"/>
      <c r="C58" s="318"/>
      <c r="D58" s="89"/>
      <c r="E58" s="106">
        <f>'Sprache+DB'!F45</f>
        <v>160</v>
      </c>
      <c r="F58" s="101">
        <f t="shared" si="5"/>
        <v>0</v>
      </c>
      <c r="G58" s="105">
        <v>4.3</v>
      </c>
      <c r="H58" s="101">
        <f t="shared" si="6"/>
        <v>0</v>
      </c>
    </row>
    <row r="59" spans="1:8" s="92" customFormat="1" ht="12.75" x14ac:dyDescent="0.2">
      <c r="A59" s="316" t="str">
        <f>'Sprache+DB'!C46</f>
        <v>Cerfs rouges</v>
      </c>
      <c r="B59" s="317"/>
      <c r="C59" s="318"/>
      <c r="D59" s="89"/>
      <c r="E59" s="106">
        <f>'Sprache+DB'!F46</f>
        <v>230</v>
      </c>
      <c r="F59" s="101">
        <f t="shared" si="5"/>
        <v>0</v>
      </c>
      <c r="G59" s="105">
        <v>9.5</v>
      </c>
      <c r="H59" s="101">
        <f t="shared" si="6"/>
        <v>0</v>
      </c>
    </row>
    <row r="60" spans="1:8" s="92" customFormat="1" ht="12.75" x14ac:dyDescent="0.2">
      <c r="A60" s="316" t="str">
        <f>'Sprache+DB'!C47</f>
        <v>Buffles d'Asie</v>
      </c>
      <c r="B60" s="317"/>
      <c r="C60" s="318"/>
      <c r="D60" s="89"/>
      <c r="E60" s="106">
        <f>'Sprache+DB'!F47</f>
        <v>0</v>
      </c>
      <c r="F60" s="101">
        <f t="shared" si="5"/>
        <v>0</v>
      </c>
      <c r="G60" s="105">
        <v>35</v>
      </c>
      <c r="H60" s="101">
        <f t="shared" si="6"/>
        <v>0</v>
      </c>
    </row>
    <row r="61" spans="1:8" s="92" customFormat="1" ht="12.75" x14ac:dyDescent="0.2">
      <c r="A61" s="316" t="str">
        <f>'Sprache+DB'!C48</f>
        <v>Mulets / ânes / poneys</v>
      </c>
      <c r="B61" s="317"/>
      <c r="C61" s="318"/>
      <c r="D61" s="89"/>
      <c r="E61" s="106">
        <f>'Sprache+DB'!F48</f>
        <v>0</v>
      </c>
      <c r="F61" s="101">
        <f t="shared" si="5"/>
        <v>0</v>
      </c>
      <c r="G61" s="105">
        <v>14.6</v>
      </c>
      <c r="H61" s="101">
        <f t="shared" si="6"/>
        <v>0</v>
      </c>
    </row>
    <row r="62" spans="1:8" s="92" customFormat="1" ht="12.75" x14ac:dyDescent="0.2">
      <c r="A62" s="316" t="str">
        <f>'Sprache+DB'!C49</f>
        <v>Lamas &lt; 2 ans</v>
      </c>
      <c r="B62" s="317"/>
      <c r="C62" s="318"/>
      <c r="D62" s="89"/>
      <c r="E62" s="106">
        <f>'Sprache+DB'!F49</f>
        <v>0</v>
      </c>
      <c r="F62" s="101">
        <f t="shared" si="5"/>
        <v>0</v>
      </c>
      <c r="G62" s="105">
        <v>4.9000000000000004</v>
      </c>
      <c r="H62" s="101">
        <f t="shared" si="6"/>
        <v>0</v>
      </c>
    </row>
    <row r="63" spans="1:8" s="92" customFormat="1" ht="12.75" customHeight="1" x14ac:dyDescent="0.2">
      <c r="A63" s="316" t="str">
        <f>'Sprache+DB'!C50</f>
        <v>Lamas &gt; 2 ans</v>
      </c>
      <c r="B63" s="317"/>
      <c r="C63" s="318"/>
      <c r="D63" s="89"/>
      <c r="E63" s="106">
        <f>'Sprache+DB'!F50</f>
        <v>0</v>
      </c>
      <c r="F63" s="101">
        <f t="shared" si="5"/>
        <v>0</v>
      </c>
      <c r="G63" s="105">
        <v>8.5</v>
      </c>
      <c r="H63" s="101">
        <f t="shared" si="6"/>
        <v>0</v>
      </c>
    </row>
    <row r="64" spans="1:8" s="92" customFormat="1" ht="12.75" x14ac:dyDescent="0.2">
      <c r="A64" s="316" t="str">
        <f>'Sprache+DB'!C51</f>
        <v>Alpagas &lt; 2 ans</v>
      </c>
      <c r="B64" s="317"/>
      <c r="C64" s="318"/>
      <c r="D64" s="89"/>
      <c r="E64" s="106">
        <f>'Sprache+DB'!F51</f>
        <v>0</v>
      </c>
      <c r="F64" s="101">
        <f t="shared" si="5"/>
        <v>0</v>
      </c>
      <c r="G64" s="183">
        <v>3</v>
      </c>
      <c r="H64" s="101">
        <f t="shared" si="6"/>
        <v>0</v>
      </c>
    </row>
    <row r="65" spans="1:9" s="92" customFormat="1" ht="12.75" x14ac:dyDescent="0.2">
      <c r="A65" s="316" t="str">
        <f>'Sprache+DB'!C52</f>
        <v>Alpagas &gt; 2ans</v>
      </c>
      <c r="B65" s="317"/>
      <c r="C65" s="318"/>
      <c r="D65" s="89"/>
      <c r="E65" s="106">
        <f>'Sprache+DB'!F52</f>
        <v>0</v>
      </c>
      <c r="F65" s="101">
        <f t="shared" si="5"/>
        <v>0</v>
      </c>
      <c r="G65" s="105">
        <v>5.5</v>
      </c>
      <c r="H65" s="101">
        <f t="shared" si="6"/>
        <v>0</v>
      </c>
    </row>
    <row r="66" spans="1:9" s="92" customFormat="1" ht="12.75" customHeight="1" x14ac:dyDescent="0.2">
      <c r="A66" s="301" t="s">
        <v>137</v>
      </c>
      <c r="B66" s="302"/>
      <c r="C66" s="303"/>
      <c r="D66" s="102"/>
      <c r="E66" s="103"/>
      <c r="F66" s="103">
        <f>ROUND(SUM(F39:F65),-3)</f>
        <v>0</v>
      </c>
      <c r="G66" s="102"/>
      <c r="H66" s="103">
        <f>ROUND(SUM(H39:H65),-2)</f>
        <v>0</v>
      </c>
    </row>
    <row r="67" spans="1:9" s="92" customFormat="1" ht="12.75" customHeight="1" x14ac:dyDescent="0.2">
      <c r="A67" s="178" t="str">
        <f>'Sprache+DB'!C122</f>
        <v>*) Si estivage =&gt; indiquer le nombre de bêtes estivées après la virgule ( 25.05 signifie : 5 des 25 bêtes vont en estivage)</v>
      </c>
      <c r="B67" s="179"/>
      <c r="C67" s="179"/>
      <c r="D67" s="180"/>
      <c r="E67" s="181"/>
      <c r="F67" s="181"/>
      <c r="G67" s="180"/>
      <c r="H67" s="181"/>
      <c r="I67" s="129"/>
    </row>
    <row r="68" spans="1:9" s="92" customFormat="1" ht="12.75" customHeight="1" x14ac:dyDescent="0.2">
      <c r="A68" s="133"/>
      <c r="B68" s="130"/>
      <c r="C68" s="130"/>
      <c r="D68" s="131"/>
      <c r="E68" s="132"/>
      <c r="F68" s="132"/>
      <c r="G68" s="131"/>
      <c r="H68" s="132"/>
      <c r="I68" s="129"/>
    </row>
    <row r="69" spans="1:9" s="92" customFormat="1" ht="12.75" x14ac:dyDescent="0.2">
      <c r="A69" s="301" t="str">
        <f>'Sprache+DB'!C55</f>
        <v>Productions "développement interne"</v>
      </c>
      <c r="B69" s="302"/>
      <c r="C69" s="303"/>
      <c r="D69" s="100" t="str">
        <f>'Sprache+DB'!C116</f>
        <v>Places</v>
      </c>
      <c r="E69" s="101"/>
      <c r="F69" s="101"/>
      <c r="G69" s="105"/>
      <c r="H69" s="101"/>
    </row>
    <row r="70" spans="1:9" s="92" customFormat="1" ht="12.75" x14ac:dyDescent="0.2">
      <c r="A70" s="316" t="str">
        <f>'Sprache+DB'!C57</f>
        <v xml:space="preserve">Veaux engr. poudre, babeurre </v>
      </c>
      <c r="B70" s="317"/>
      <c r="C70" s="318"/>
      <c r="D70" s="89"/>
      <c r="E70" s="101">
        <f>'Sprache+DB'!F57</f>
        <v>420</v>
      </c>
      <c r="F70" s="101">
        <f>IF(E70="-",0,D70*E70)</f>
        <v>0</v>
      </c>
      <c r="G70" s="183">
        <v>6</v>
      </c>
      <c r="H70" s="101">
        <f>D70*G70</f>
        <v>0</v>
      </c>
    </row>
    <row r="71" spans="1:9" s="92" customFormat="1" ht="12.75" x14ac:dyDescent="0.2">
      <c r="A71" s="316"/>
      <c r="B71" s="317"/>
      <c r="C71" s="317"/>
      <c r="D71" s="107"/>
      <c r="E71" s="108"/>
      <c r="F71" s="108"/>
      <c r="G71" s="107"/>
      <c r="H71" s="109"/>
    </row>
    <row r="72" spans="1:9" s="92" customFormat="1" ht="12.75" customHeight="1" x14ac:dyDescent="0.2">
      <c r="A72" s="316" t="str">
        <f>'Sprache+DB'!C59</f>
        <v>Truies  y. c. porcelets (cycle complet)</v>
      </c>
      <c r="B72" s="317"/>
      <c r="C72" s="318"/>
      <c r="D72" s="89"/>
      <c r="E72" s="101">
        <f>'Sprache+DB'!F59</f>
        <v>1320</v>
      </c>
      <c r="F72" s="101">
        <f t="shared" ref="F72:F78" si="7">IF(E72="-",0,D72*E72)</f>
        <v>0</v>
      </c>
      <c r="G72" s="271">
        <v>16.8</v>
      </c>
      <c r="H72" s="101">
        <f t="shared" ref="H72:H78" si="8">D72*G72</f>
        <v>0</v>
      </c>
    </row>
    <row r="73" spans="1:9" s="92" customFormat="1" ht="12.75" x14ac:dyDescent="0.2">
      <c r="A73" s="316" t="str">
        <f>'Sprache+DB'!C60</f>
        <v>Porcs à l'engrais, remontes &lt; 6 mois</v>
      </c>
      <c r="B73" s="317"/>
      <c r="C73" s="318"/>
      <c r="D73" s="89"/>
      <c r="E73" s="101">
        <f>'Sprache+DB'!F60</f>
        <v>150</v>
      </c>
      <c r="F73" s="101">
        <f t="shared" si="7"/>
        <v>0</v>
      </c>
      <c r="G73" s="271">
        <v>5.64</v>
      </c>
      <c r="H73" s="101">
        <f t="shared" si="8"/>
        <v>0</v>
      </c>
    </row>
    <row r="74" spans="1:9" s="92" customFormat="1" ht="12.75" x14ac:dyDescent="0.2">
      <c r="A74" s="316" t="str">
        <f>'Sprache+DB'!C61</f>
        <v>Verrat</v>
      </c>
      <c r="B74" s="317"/>
      <c r="C74" s="318"/>
      <c r="D74" s="89"/>
      <c r="E74" s="101">
        <f>'Sprache+DB'!F61</f>
        <v>0</v>
      </c>
      <c r="F74" s="101">
        <f t="shared" si="7"/>
        <v>0</v>
      </c>
      <c r="G74" s="271">
        <v>9.1</v>
      </c>
      <c r="H74" s="101">
        <f t="shared" si="8"/>
        <v>0</v>
      </c>
    </row>
    <row r="75" spans="1:9" s="92" customFormat="1" ht="12.75" customHeight="1" x14ac:dyDescent="0.2">
      <c r="A75" s="316" t="str">
        <f>'Sprache+DB'!C62</f>
        <v>Porcelets sevrés jusqu'à 25 kg</v>
      </c>
      <c r="B75" s="317"/>
      <c r="C75" s="318"/>
      <c r="D75" s="89"/>
      <c r="E75" s="106">
        <f>'Sprache+DB'!F62</f>
        <v>0</v>
      </c>
      <c r="F75" s="101">
        <f t="shared" si="7"/>
        <v>0</v>
      </c>
      <c r="G75" s="271">
        <v>1.6</v>
      </c>
      <c r="H75" s="101">
        <f t="shared" si="8"/>
        <v>0</v>
      </c>
    </row>
    <row r="76" spans="1:9" s="92" customFormat="1" ht="12.75" x14ac:dyDescent="0.2">
      <c r="A76" s="316" t="str">
        <f>'Sprache+DB'!C63</f>
        <v>Truies non allaitantes, &gt; 6 mois</v>
      </c>
      <c r="B76" s="317"/>
      <c r="C76" s="318"/>
      <c r="D76" s="89"/>
      <c r="E76" s="106">
        <f>'Sprache+DB'!F63</f>
        <v>0</v>
      </c>
      <c r="F76" s="101">
        <f t="shared" si="7"/>
        <v>0</v>
      </c>
      <c r="G76" s="271">
        <v>8</v>
      </c>
      <c r="H76" s="101">
        <f t="shared" si="8"/>
        <v>0</v>
      </c>
    </row>
    <row r="77" spans="1:9" s="92" customFormat="1" ht="12.75" x14ac:dyDescent="0.2">
      <c r="A77" s="316" t="str">
        <f>'Sprache+DB'!C64</f>
        <v>Exploitation mise bas, élevage (ring)</v>
      </c>
      <c r="B77" s="317"/>
      <c r="C77" s="318"/>
      <c r="D77" s="89"/>
      <c r="E77" s="272">
        <f>'Sprache+DB'!F64</f>
        <v>0</v>
      </c>
      <c r="F77" s="101">
        <f t="shared" si="7"/>
        <v>0</v>
      </c>
      <c r="G77" s="271">
        <v>44.2</v>
      </c>
      <c r="H77" s="101">
        <f t="shared" si="8"/>
        <v>0</v>
      </c>
    </row>
    <row r="78" spans="1:9" s="92" customFormat="1" ht="12.75" customHeight="1" x14ac:dyDescent="0.2">
      <c r="A78" s="316" t="str">
        <f>'Sprache+DB'!C65</f>
        <v>Exploitation de saillie et portantes (ring)</v>
      </c>
      <c r="B78" s="317"/>
      <c r="C78" s="318"/>
      <c r="D78" s="89"/>
      <c r="E78" s="272">
        <f>'Sprache+DB'!F65</f>
        <v>0</v>
      </c>
      <c r="F78" s="101">
        <f t="shared" si="7"/>
        <v>0</v>
      </c>
      <c r="G78" s="271">
        <v>7.6</v>
      </c>
      <c r="H78" s="101">
        <f t="shared" si="8"/>
        <v>0</v>
      </c>
    </row>
    <row r="79" spans="1:9" s="92" customFormat="1" ht="12.75" x14ac:dyDescent="0.2">
      <c r="A79" s="316"/>
      <c r="B79" s="317"/>
      <c r="C79" s="317"/>
      <c r="D79" s="107"/>
      <c r="E79" s="108"/>
      <c r="F79" s="108"/>
      <c r="G79" s="107"/>
      <c r="H79" s="109"/>
    </row>
    <row r="80" spans="1:9" s="92" customFormat="1" ht="12.75" x14ac:dyDescent="0.2">
      <c r="A80" s="316" t="str">
        <f>'Sprache+DB'!C67</f>
        <v>Pondeuses</v>
      </c>
      <c r="B80" s="317"/>
      <c r="C80" s="318"/>
      <c r="D80" s="216"/>
      <c r="E80" s="214">
        <f>'Sprache+DB'!F67</f>
        <v>23.110699999999998</v>
      </c>
      <c r="F80" s="101">
        <f t="shared" ref="F80:F89" si="9">IF(E80="-",0,D80*E80)</f>
        <v>0</v>
      </c>
      <c r="G80" s="213">
        <v>0.37</v>
      </c>
      <c r="H80" s="101">
        <f t="shared" ref="H80:H89" si="10">D80*G80</f>
        <v>0</v>
      </c>
    </row>
    <row r="81" spans="1:8" s="92" customFormat="1" ht="12.75" x14ac:dyDescent="0.2">
      <c r="A81" s="316" t="str">
        <f>'Sprache+DB'!C68</f>
        <v>Poulettes d'élevage, coquelets</v>
      </c>
      <c r="B81" s="317"/>
      <c r="C81" s="318"/>
      <c r="D81" s="216"/>
      <c r="E81" s="214">
        <f>'Sprache+DB'!F68</f>
        <v>8.4265333333333334</v>
      </c>
      <c r="F81" s="101">
        <f t="shared" si="9"/>
        <v>0</v>
      </c>
      <c r="G81" s="213">
        <v>0.37</v>
      </c>
      <c r="H81" s="101">
        <f t="shared" si="10"/>
        <v>0</v>
      </c>
    </row>
    <row r="82" spans="1:8" s="92" customFormat="1" ht="12.75" x14ac:dyDescent="0.2">
      <c r="A82" s="316" t="str">
        <f>'Sprache+DB'!C69</f>
        <v>Poules d'élevage</v>
      </c>
      <c r="B82" s="317"/>
      <c r="C82" s="318"/>
      <c r="D82" s="216"/>
      <c r="E82" s="215">
        <f>'Sprache+DB'!F69</f>
        <v>0</v>
      </c>
      <c r="F82" s="101">
        <f t="shared" si="9"/>
        <v>0</v>
      </c>
      <c r="G82" s="213">
        <v>0.11</v>
      </c>
      <c r="H82" s="101">
        <f t="shared" si="10"/>
        <v>0</v>
      </c>
    </row>
    <row r="83" spans="1:8" s="92" customFormat="1" ht="12.75" x14ac:dyDescent="0.2">
      <c r="A83" s="316" t="str">
        <f>'Sprache+DB'!C70</f>
        <v>Poulets d'engraissement (15 pl. /m2)</v>
      </c>
      <c r="B83" s="317"/>
      <c r="C83" s="318"/>
      <c r="D83" s="216"/>
      <c r="E83" s="215">
        <f>'Sprache+DB'!F70</f>
        <v>8.5619833333333339</v>
      </c>
      <c r="F83" s="101">
        <f t="shared" si="9"/>
        <v>0</v>
      </c>
      <c r="G83" s="213">
        <v>0.24</v>
      </c>
      <c r="H83" s="101">
        <f t="shared" si="10"/>
        <v>0</v>
      </c>
    </row>
    <row r="84" spans="1:8" s="92" customFormat="1" ht="12.75" customHeight="1" x14ac:dyDescent="0.2">
      <c r="A84" s="316" t="str">
        <f>'Sprache+DB'!C71</f>
        <v>Dindes d'élevage (12 pl. /m2)</v>
      </c>
      <c r="B84" s="317"/>
      <c r="C84" s="318"/>
      <c r="D84" s="216"/>
      <c r="E84" s="215">
        <f>'Sprache+DB'!F71</f>
        <v>0</v>
      </c>
      <c r="F84" s="101">
        <f t="shared" si="9"/>
        <v>0</v>
      </c>
      <c r="G84" s="213">
        <v>0.3</v>
      </c>
      <c r="H84" s="101">
        <f t="shared" si="10"/>
        <v>0</v>
      </c>
    </row>
    <row r="85" spans="1:8" s="92" customFormat="1" ht="12.75" x14ac:dyDescent="0.2">
      <c r="A85" s="316" t="str">
        <f>'Sprache+DB'!C72</f>
        <v>Dindes d'engraissement (4 pl. / m2)</v>
      </c>
      <c r="B85" s="317"/>
      <c r="C85" s="318"/>
      <c r="D85" s="216"/>
      <c r="E85" s="215">
        <f>'Sprache+DB'!F72</f>
        <v>0</v>
      </c>
      <c r="F85" s="101">
        <f t="shared" si="9"/>
        <v>0</v>
      </c>
      <c r="G85" s="213">
        <v>0.85</v>
      </c>
      <c r="H85" s="101">
        <f t="shared" si="10"/>
        <v>0</v>
      </c>
    </row>
    <row r="86" spans="1:8" s="92" customFormat="1" ht="12.75" x14ac:dyDescent="0.2">
      <c r="A86" s="316" t="str">
        <f>'Sprache+DB'!C73</f>
        <v>Dindes (tout âge)</v>
      </c>
      <c r="B86" s="317"/>
      <c r="C86" s="318"/>
      <c r="D86" s="216"/>
      <c r="E86" s="215">
        <f>'Sprache+DB'!F73</f>
        <v>0</v>
      </c>
      <c r="F86" s="101">
        <f t="shared" si="9"/>
        <v>0</v>
      </c>
      <c r="G86" s="213">
        <v>0.68</v>
      </c>
      <c r="H86" s="101">
        <f t="shared" si="10"/>
        <v>0</v>
      </c>
    </row>
    <row r="87" spans="1:8" s="92" customFormat="1" ht="12.75" customHeight="1" x14ac:dyDescent="0.2">
      <c r="A87" s="316" t="str">
        <f>'Sprache+DB'!C74</f>
        <v>Poissons (par tonne et année)</v>
      </c>
      <c r="B87" s="317"/>
      <c r="C87" s="318"/>
      <c r="D87" s="216"/>
      <c r="E87" s="215">
        <f>'Sprache+DB'!F74</f>
        <v>0</v>
      </c>
      <c r="F87" s="101">
        <f t="shared" si="9"/>
        <v>0</v>
      </c>
      <c r="G87" s="213">
        <v>8.8000000000000007</v>
      </c>
      <c r="H87" s="101">
        <f t="shared" si="10"/>
        <v>0</v>
      </c>
    </row>
    <row r="88" spans="1:8" s="92" customFormat="1" ht="12.75" x14ac:dyDescent="0.2">
      <c r="A88" s="316" t="str">
        <f>'Sprache+DB'!C75</f>
        <v>Lapines y c. lapereaux</v>
      </c>
      <c r="B88" s="317"/>
      <c r="C88" s="318"/>
      <c r="D88" s="216"/>
      <c r="E88" s="215">
        <f>'Sprache+DB'!F75</f>
        <v>0</v>
      </c>
      <c r="F88" s="101">
        <f t="shared" si="9"/>
        <v>0</v>
      </c>
      <c r="G88" s="213">
        <v>0.35</v>
      </c>
      <c r="H88" s="101">
        <f t="shared" si="10"/>
        <v>0</v>
      </c>
    </row>
    <row r="89" spans="1:8" s="92" customFormat="1" ht="12.75" x14ac:dyDescent="0.2">
      <c r="A89" s="316" t="str">
        <f>'Sprache+DB'!C76</f>
        <v>Lapins d'engraissement</v>
      </c>
      <c r="B89" s="317"/>
      <c r="C89" s="318"/>
      <c r="D89" s="216"/>
      <c r="E89" s="215">
        <f>'Sprache+DB'!F76</f>
        <v>0</v>
      </c>
      <c r="F89" s="101">
        <f t="shared" si="9"/>
        <v>0</v>
      </c>
      <c r="G89" s="213">
        <v>0.6</v>
      </c>
      <c r="H89" s="101">
        <f t="shared" si="10"/>
        <v>0</v>
      </c>
    </row>
    <row r="90" spans="1:8" s="92" customFormat="1" ht="12.75" customHeight="1" x14ac:dyDescent="0.2">
      <c r="A90" s="301" t="s">
        <v>137</v>
      </c>
      <c r="B90" s="302"/>
      <c r="C90" s="303"/>
      <c r="D90" s="102"/>
      <c r="E90" s="103"/>
      <c r="F90" s="103">
        <f>ROUND(SUM(F70:F89),-3)</f>
        <v>0</v>
      </c>
      <c r="G90" s="102"/>
      <c r="H90" s="103">
        <f>ROUND(SUM(H70:H89),-2)</f>
        <v>0</v>
      </c>
    </row>
    <row r="91" spans="1:8" s="92" customFormat="1" ht="12.75" x14ac:dyDescent="0.2">
      <c r="H91" s="104"/>
    </row>
    <row r="92" spans="1:8" s="92" customFormat="1" ht="15.75" x14ac:dyDescent="0.25">
      <c r="A92" s="110" t="str">
        <f>'Sprache+DB'!C80</f>
        <v>Résultats</v>
      </c>
      <c r="B92" s="111"/>
      <c r="C92" s="111"/>
      <c r="D92" s="111"/>
      <c r="E92" s="111"/>
      <c r="F92" s="111"/>
      <c r="G92" s="111"/>
      <c r="H92" s="112"/>
    </row>
    <row r="93" spans="1:8" s="92" customFormat="1" x14ac:dyDescent="0.25">
      <c r="A93" s="113"/>
      <c r="B93" s="114"/>
      <c r="C93" s="114"/>
      <c r="D93" s="114"/>
      <c r="E93" s="114"/>
      <c r="F93" s="114"/>
      <c r="G93" s="114"/>
      <c r="H93" s="115"/>
    </row>
    <row r="94" spans="1:8" s="92" customFormat="1" x14ac:dyDescent="0.25">
      <c r="A94" s="113" t="str">
        <f>'Sprache+DB'!C88</f>
        <v>Bilan de la MS</v>
      </c>
      <c r="B94" s="114"/>
      <c r="C94" s="114"/>
      <c r="D94" s="114"/>
      <c r="E94" s="114"/>
      <c r="F94" s="114"/>
      <c r="G94" s="114"/>
      <c r="H94" s="115"/>
    </row>
    <row r="95" spans="1:8" s="92" customFormat="1" ht="6" customHeight="1" x14ac:dyDescent="0.25">
      <c r="A95" s="113"/>
      <c r="B95" s="114"/>
      <c r="C95" s="114"/>
      <c r="D95" s="114"/>
      <c r="E95" s="114"/>
      <c r="F95" s="114"/>
      <c r="G95" s="114"/>
      <c r="H95" s="115"/>
    </row>
    <row r="96" spans="1:8" s="92" customFormat="1" ht="15" customHeight="1" x14ac:dyDescent="0.2">
      <c r="A96" s="116"/>
      <c r="B96" s="304" t="str">
        <f>'Sprache+DB'!C89</f>
        <v>Besoin total y c. développement interne</v>
      </c>
      <c r="C96" s="305"/>
      <c r="D96" s="308" t="str">
        <f>'Sprache+DB'!C90</f>
        <v>Potentiel de MS</v>
      </c>
      <c r="E96" s="309"/>
      <c r="F96" s="308" t="str">
        <f>'Sprache+DB'!C91</f>
        <v>Taux de couverture MS</v>
      </c>
      <c r="G96" s="309"/>
      <c r="H96" s="115"/>
    </row>
    <row r="97" spans="1:11" s="92" customFormat="1" ht="15" customHeight="1" x14ac:dyDescent="0.2">
      <c r="A97" s="117"/>
      <c r="B97" s="312"/>
      <c r="C97" s="313"/>
      <c r="D97" s="319"/>
      <c r="E97" s="320"/>
      <c r="F97" s="319"/>
      <c r="G97" s="320"/>
      <c r="H97" s="115"/>
    </row>
    <row r="98" spans="1:11" s="92" customFormat="1" ht="15" customHeight="1" x14ac:dyDescent="0.2">
      <c r="A98" s="94" t="str">
        <f>'Sprache+DB'!C78</f>
        <v>dt MS</v>
      </c>
      <c r="B98" s="314">
        <f>H66+H90</f>
        <v>0</v>
      </c>
      <c r="C98" s="315"/>
      <c r="D98" s="314">
        <f>H35</f>
        <v>0</v>
      </c>
      <c r="E98" s="315"/>
      <c r="F98" s="357">
        <f>IF(D98=0,0,D98/B98)</f>
        <v>0</v>
      </c>
      <c r="G98" s="358"/>
      <c r="H98" s="115"/>
      <c r="K98" s="119"/>
    </row>
    <row r="99" spans="1:11" s="92" customFormat="1" ht="15" customHeight="1" x14ac:dyDescent="0.2">
      <c r="A99" s="354" t="str">
        <f>IF(F98&gt;=70%,'Sprache+DB'!C86,IF(F98&gt;=50%,'Sprache+DB'!C92,'Sprache+DB'!C87))</f>
        <v>Le critère n'est pas rempli, car le taux de couverture des besoins en matière sèche est inférieur à 50%.</v>
      </c>
      <c r="B99" s="355"/>
      <c r="C99" s="355"/>
      <c r="D99" s="355"/>
      <c r="E99" s="355"/>
      <c r="F99" s="355"/>
      <c r="G99" s="355"/>
      <c r="H99" s="356"/>
    </row>
    <row r="100" spans="1:11" s="92" customFormat="1" ht="15" customHeight="1" x14ac:dyDescent="0.2">
      <c r="A100" s="354"/>
      <c r="B100" s="355"/>
      <c r="C100" s="355"/>
      <c r="D100" s="355"/>
      <c r="E100" s="355"/>
      <c r="F100" s="355"/>
      <c r="G100" s="355"/>
      <c r="H100" s="356"/>
    </row>
    <row r="101" spans="1:11" s="92" customFormat="1" ht="15" customHeight="1" x14ac:dyDescent="0.2">
      <c r="A101" s="123"/>
      <c r="B101" s="124"/>
      <c r="C101" s="124"/>
      <c r="D101" s="124"/>
      <c r="E101" s="124"/>
      <c r="G101" s="217"/>
      <c r="H101" s="125"/>
    </row>
    <row r="102" spans="1:11" s="92" customFormat="1" ht="15" customHeight="1" x14ac:dyDescent="0.25">
      <c r="A102" s="113" t="str">
        <f>'Sprache+DB'!C79</f>
        <v>Comparaison des MB</v>
      </c>
      <c r="B102" s="114"/>
      <c r="C102" s="114"/>
      <c r="D102" s="114"/>
      <c r="E102" s="114"/>
      <c r="G102" s="152"/>
      <c r="H102" s="115"/>
    </row>
    <row r="103" spans="1:11" s="92" customFormat="1" ht="6" customHeight="1" x14ac:dyDescent="0.25">
      <c r="A103" s="113"/>
      <c r="B103" s="114"/>
      <c r="C103" s="135"/>
      <c r="D103" s="135"/>
      <c r="E103" s="135"/>
      <c r="G103" s="152"/>
      <c r="H103" s="115"/>
    </row>
    <row r="104" spans="1:11" s="92" customFormat="1" ht="15" customHeight="1" x14ac:dyDescent="0.2">
      <c r="A104" s="116"/>
      <c r="B104" s="304" t="str">
        <f>'Sprache+DB'!C83</f>
        <v>Hors sol</v>
      </c>
      <c r="C104" s="305"/>
      <c r="D104" s="308" t="str">
        <f>'Sprache+DB'!C82</f>
        <v>Tributaire du sol</v>
      </c>
      <c r="E104" s="309"/>
      <c r="F104" s="304" t="str">
        <f>'Sprache+DB'!C84</f>
        <v>Part de la MB tributaire du sol sur la MB totale</v>
      </c>
      <c r="G104" s="305"/>
      <c r="H104" s="220"/>
    </row>
    <row r="105" spans="1:11" s="92" customFormat="1" ht="15" customHeight="1" x14ac:dyDescent="0.2">
      <c r="A105" s="116"/>
      <c r="B105" s="306"/>
      <c r="C105" s="307"/>
      <c r="D105" s="310"/>
      <c r="E105" s="311"/>
      <c r="F105" s="312"/>
      <c r="G105" s="313"/>
      <c r="H105" s="115"/>
    </row>
    <row r="106" spans="1:11" s="92" customFormat="1" ht="15" customHeight="1" x14ac:dyDescent="0.2">
      <c r="A106" s="120" t="str">
        <f>'Sprache+DB'!C85</f>
        <v>MB en frs.</v>
      </c>
      <c r="B106" s="369">
        <f>F90</f>
        <v>0</v>
      </c>
      <c r="C106" s="370"/>
      <c r="D106" s="369">
        <f>F66+F35</f>
        <v>0</v>
      </c>
      <c r="E106" s="370"/>
      <c r="F106" s="357">
        <f>IF(F98&gt;=70%,0,IF(F98&lt;50%,0,IF(D106=0,0,D106/(B106+D106))))</f>
        <v>0</v>
      </c>
      <c r="G106" s="358"/>
      <c r="H106" s="115"/>
    </row>
    <row r="107" spans="1:11" s="92" customFormat="1" ht="15" customHeight="1" x14ac:dyDescent="0.2">
      <c r="A107" s="362" t="str">
        <f>IF(F98&gt;=70%,'Sprache+DB'!C140,IF(F98&lt;50%,'Sprache+DB'!C141,IF(F106&gt;=50%,'Sprache+DB'!C81,'Sprache+DB'!C93)))</f>
        <v>Le critère de la marge brute n'est pas déterminant dans ce cas précis, la couverture des besoins en matière sèche étant inférieure au minimum requis (50%).</v>
      </c>
      <c r="B107" s="363"/>
      <c r="C107" s="363"/>
      <c r="D107" s="363"/>
      <c r="E107" s="363"/>
      <c r="F107" s="363"/>
      <c r="G107" s="363"/>
      <c r="H107" s="364"/>
    </row>
    <row r="108" spans="1:11" s="92" customFormat="1" ht="12.75" x14ac:dyDescent="0.2">
      <c r="A108" s="362"/>
      <c r="B108" s="363"/>
      <c r="C108" s="363"/>
      <c r="D108" s="363"/>
      <c r="E108" s="363"/>
      <c r="F108" s="363"/>
      <c r="G108" s="363"/>
      <c r="H108" s="364"/>
    </row>
    <row r="109" spans="1:11" s="92" customFormat="1" ht="12.75" x14ac:dyDescent="0.2">
      <c r="A109" s="188"/>
      <c r="B109" s="153"/>
      <c r="C109" s="221"/>
      <c r="D109" s="153"/>
      <c r="E109" s="153"/>
      <c r="F109" s="153"/>
      <c r="G109" s="153"/>
      <c r="H109" s="154"/>
    </row>
    <row r="110" spans="1:11" s="92" customFormat="1" ht="12.75" x14ac:dyDescent="0.2"/>
    <row r="111" spans="1:11" s="92" customFormat="1" ht="12.75" x14ac:dyDescent="0.2">
      <c r="A111" s="121" t="str">
        <f>'Sprache+DB'!C138</f>
        <v xml:space="preserve">Lieu et date: </v>
      </c>
      <c r="E111" s="121" t="str">
        <f>'Sprache+DB'!C139</f>
        <v xml:space="preserve">Signature: </v>
      </c>
    </row>
    <row r="112" spans="1:11" s="92" customFormat="1" ht="12.75" x14ac:dyDescent="0.2"/>
    <row r="113" spans="1:8" s="92" customFormat="1" ht="12.75" x14ac:dyDescent="0.2">
      <c r="A113" s="368" t="s">
        <v>27</v>
      </c>
      <c r="B113" s="368"/>
      <c r="C113" s="368"/>
      <c r="D113" s="368"/>
      <c r="E113" s="368" t="s">
        <v>28</v>
      </c>
      <c r="F113" s="368"/>
      <c r="G113" s="368"/>
      <c r="H113" s="368"/>
    </row>
    <row r="114" spans="1:8" s="92" customFormat="1" ht="12.75" x14ac:dyDescent="0.2"/>
    <row r="115" spans="1:8" s="92" customFormat="1" ht="12.75" x14ac:dyDescent="0.2"/>
    <row r="116" spans="1:8" s="92" customFormat="1" ht="12.75" x14ac:dyDescent="0.2">
      <c r="A116" s="122" t="str">
        <f>'Sprache+DB'!C145</f>
        <v>Instruction</v>
      </c>
      <c r="B116" s="111"/>
      <c r="C116" s="111"/>
      <c r="D116" s="111"/>
      <c r="E116" s="111"/>
      <c r="F116" s="111"/>
      <c r="G116" s="111"/>
      <c r="H116" s="112"/>
    </row>
    <row r="117" spans="1:8" s="92" customFormat="1" ht="12.75" x14ac:dyDescent="0.2">
      <c r="A117" s="365" t="str">
        <f>'Sprache+DB'!C146</f>
        <v xml:space="preserve">Les données de l'exploitation doivent être apposées dans les cellules grisées. </v>
      </c>
      <c r="B117" s="366"/>
      <c r="C117" s="366"/>
      <c r="D117" s="366"/>
      <c r="E117" s="366"/>
      <c r="F117" s="366"/>
      <c r="G117" s="366"/>
      <c r="H117" s="367"/>
    </row>
    <row r="118" spans="1:8" s="92" customFormat="1" ht="12.75" x14ac:dyDescent="0.2">
      <c r="A118" s="365" t="str">
        <f>'Sprache+DB'!C147</f>
        <v>Les valeurs unitaires liées au tableau référant annexe ne peuvent pas être changées manuellement.</v>
      </c>
      <c r="B118" s="366"/>
      <c r="C118" s="366"/>
      <c r="D118" s="366"/>
      <c r="E118" s="366"/>
      <c r="F118" s="366"/>
      <c r="G118" s="366"/>
      <c r="H118" s="367"/>
    </row>
    <row r="119" spans="1:8" s="92" customFormat="1" ht="25.5" customHeight="1" x14ac:dyDescent="0.2">
      <c r="A119" s="359" t="str">
        <f>'Sprache+DB'!C148</f>
        <v>Pour les productions dont les marges brutes ne comprennent aucune indication, le requérant devra apporter les chiffres planifiés et leur justification.</v>
      </c>
      <c r="B119" s="360"/>
      <c r="C119" s="360"/>
      <c r="D119" s="360"/>
      <c r="E119" s="360"/>
      <c r="F119" s="360"/>
      <c r="G119" s="360"/>
      <c r="H119" s="361"/>
    </row>
    <row r="120" spans="1:8" s="92" customFormat="1" ht="12.75" x14ac:dyDescent="0.2">
      <c r="A120" s="118" t="str">
        <f>'Sprache+DB'!C149</f>
        <v>Abréviations</v>
      </c>
      <c r="B120" s="222"/>
      <c r="C120" s="222"/>
      <c r="D120" s="222"/>
      <c r="E120" s="222"/>
      <c r="F120" s="222"/>
      <c r="G120" s="222"/>
      <c r="H120" s="223"/>
    </row>
    <row r="121" spans="1:8" s="92" customFormat="1" ht="12.75" customHeight="1" x14ac:dyDescent="0.2">
      <c r="A121" s="348" t="str">
        <f>'Sprache+DB'!C150</f>
        <v xml:space="preserve">MB = marge brute; MS = matière sèche;  ring = partage du travail en production de porcelets; SPB = surfaces de promotion de la biodiversité </v>
      </c>
      <c r="B121" s="349"/>
      <c r="C121" s="349"/>
      <c r="D121" s="349"/>
      <c r="E121" s="349"/>
      <c r="F121" s="349"/>
      <c r="G121" s="349"/>
      <c r="H121" s="350"/>
    </row>
    <row r="122" spans="1:8" s="92" customFormat="1" ht="12.75" customHeight="1" x14ac:dyDescent="0.2">
      <c r="A122" s="351"/>
      <c r="B122" s="352"/>
      <c r="C122" s="352"/>
      <c r="D122" s="352"/>
      <c r="E122" s="352"/>
      <c r="F122" s="352"/>
      <c r="G122" s="352"/>
      <c r="H122" s="353"/>
    </row>
    <row r="123" spans="1:8" s="92" customFormat="1" x14ac:dyDescent="0.25">
      <c r="A123" s="91"/>
      <c r="B123" s="91"/>
      <c r="C123" s="219"/>
      <c r="D123" s="91"/>
      <c r="E123" s="91"/>
      <c r="F123" s="91"/>
      <c r="G123" s="91"/>
      <c r="H123" s="218"/>
    </row>
    <row r="124" spans="1:8" s="92" customFormat="1" x14ac:dyDescent="0.25">
      <c r="A124" s="91"/>
      <c r="B124" s="91"/>
      <c r="C124" s="91"/>
      <c r="D124" s="91"/>
      <c r="E124" s="91"/>
      <c r="F124" s="91"/>
      <c r="G124" s="91"/>
      <c r="H124" s="91"/>
    </row>
  </sheetData>
  <sheetProtection algorithmName="SHA-512" hashValue="A6X918QgJZjyJZY20pI6ztv8bIvfCC+7Vb7auEVtQLIHiPmM966ADGM3T47CFl/en+2wsSlN6+PkIK4VuEqE+A==" saltValue="01CGiaL76nBQ3FJv9mEE6w==" spinCount="100000" sheet="1" formatCells="0" formatColumns="0" formatRows="0" insertColumns="0" insertRows="0" insertHyperlinks="0" deleteColumns="0" deleteRows="0" sort="0" autoFilter="0" pivotTables="0"/>
  <mergeCells count="106">
    <mergeCell ref="A121:H122"/>
    <mergeCell ref="F96:G97"/>
    <mergeCell ref="A90:C90"/>
    <mergeCell ref="A69:C69"/>
    <mergeCell ref="A71:C71"/>
    <mergeCell ref="A99:H100"/>
    <mergeCell ref="F98:G98"/>
    <mergeCell ref="A85:C85"/>
    <mergeCell ref="A86:C86"/>
    <mergeCell ref="A76:C76"/>
    <mergeCell ref="A77:C77"/>
    <mergeCell ref="A78:C78"/>
    <mergeCell ref="A119:H119"/>
    <mergeCell ref="A107:H108"/>
    <mergeCell ref="A117:H117"/>
    <mergeCell ref="A118:H118"/>
    <mergeCell ref="A113:D113"/>
    <mergeCell ref="E113:H113"/>
    <mergeCell ref="B106:C106"/>
    <mergeCell ref="D106:E106"/>
    <mergeCell ref="F106:G106"/>
    <mergeCell ref="B96:C97"/>
    <mergeCell ref="A83:C83"/>
    <mergeCell ref="A87:C87"/>
    <mergeCell ref="A65:C65"/>
    <mergeCell ref="A74:C74"/>
    <mergeCell ref="A59:C59"/>
    <mergeCell ref="A79:C79"/>
    <mergeCell ref="A43:C43"/>
    <mergeCell ref="A62:C62"/>
    <mergeCell ref="A80:C80"/>
    <mergeCell ref="A60:C60"/>
    <mergeCell ref="A53:C53"/>
    <mergeCell ref="A54:C54"/>
    <mergeCell ref="A55:C55"/>
    <mergeCell ref="A31:C31"/>
    <mergeCell ref="A23:C23"/>
    <mergeCell ref="A32:C32"/>
    <mergeCell ref="A33:C33"/>
    <mergeCell ref="A34:C34"/>
    <mergeCell ref="A35:C35"/>
    <mergeCell ref="A66:C66"/>
    <mergeCell ref="A70:C70"/>
    <mergeCell ref="A88:C88"/>
    <mergeCell ref="A56:C56"/>
    <mergeCell ref="A57:C57"/>
    <mergeCell ref="A58:C58"/>
    <mergeCell ref="A61:C61"/>
    <mergeCell ref="A84:C84"/>
    <mergeCell ref="A44:C44"/>
    <mergeCell ref="A47:C47"/>
    <mergeCell ref="A81:C81"/>
    <mergeCell ref="A82:C82"/>
    <mergeCell ref="A30:C30"/>
    <mergeCell ref="A39:C39"/>
    <mergeCell ref="A40:C40"/>
    <mergeCell ref="A41:C41"/>
    <mergeCell ref="A42:C42"/>
    <mergeCell ref="A45:C45"/>
    <mergeCell ref="F10:H10"/>
    <mergeCell ref="F11:H11"/>
    <mergeCell ref="F12:H12"/>
    <mergeCell ref="F13:H13"/>
    <mergeCell ref="B12:D12"/>
    <mergeCell ref="A3:H4"/>
    <mergeCell ref="A24:C24"/>
    <mergeCell ref="A27:C27"/>
    <mergeCell ref="A29:C29"/>
    <mergeCell ref="B11:D11"/>
    <mergeCell ref="B13:D13"/>
    <mergeCell ref="B14:D14"/>
    <mergeCell ref="A28:C28"/>
    <mergeCell ref="A10:A11"/>
    <mergeCell ref="A16:C16"/>
    <mergeCell ref="A17:C17"/>
    <mergeCell ref="A18:C18"/>
    <mergeCell ref="A20:C20"/>
    <mergeCell ref="A21:C21"/>
    <mergeCell ref="A25:C25"/>
    <mergeCell ref="A26:C26"/>
    <mergeCell ref="A22:C22"/>
    <mergeCell ref="A19:C19"/>
    <mergeCell ref="H37:H38"/>
    <mergeCell ref="G37:G38"/>
    <mergeCell ref="E37:E38"/>
    <mergeCell ref="F37:F38"/>
    <mergeCell ref="D37:D38"/>
    <mergeCell ref="A37:C37"/>
    <mergeCell ref="B104:C105"/>
    <mergeCell ref="D104:E105"/>
    <mergeCell ref="F104:G105"/>
    <mergeCell ref="B98:C98"/>
    <mergeCell ref="D98:E98"/>
    <mergeCell ref="A63:C63"/>
    <mergeCell ref="A64:C64"/>
    <mergeCell ref="A72:C72"/>
    <mergeCell ref="A73:C73"/>
    <mergeCell ref="A38:C38"/>
    <mergeCell ref="A51:C51"/>
    <mergeCell ref="A52:C52"/>
    <mergeCell ref="A75:C75"/>
    <mergeCell ref="A48:C48"/>
    <mergeCell ref="A49:C49"/>
    <mergeCell ref="A50:C50"/>
    <mergeCell ref="D96:E97"/>
    <mergeCell ref="A89:C89"/>
  </mergeCells>
  <conditionalFormatting sqref="F98:G98">
    <cfRule type="cellIs" priority="1" stopIfTrue="1" operator="equal">
      <formula>0</formula>
    </cfRule>
    <cfRule type="cellIs" dxfId="4" priority="6" operator="lessThan">
      <formula>0.5</formula>
    </cfRule>
    <cfRule type="cellIs" dxfId="3" priority="7" operator="between">
      <formula>0.5</formula>
      <formula>0.7</formula>
    </cfRule>
    <cfRule type="cellIs" dxfId="2" priority="8" operator="greaterThanOrEqual">
      <formula>0.7</formula>
    </cfRule>
  </conditionalFormatting>
  <conditionalFormatting sqref="F106:G106">
    <cfRule type="cellIs" priority="2" stopIfTrue="1" operator="equal">
      <formula>0</formula>
    </cfRule>
    <cfRule type="cellIs" dxfId="1" priority="3" operator="lessThan">
      <formula>0.5</formula>
    </cfRule>
    <cfRule type="cellIs" dxfId="0" priority="5" operator="greaterThanOrEqual">
      <formula>0.5</formula>
    </cfRule>
  </conditionalFormatting>
  <dataValidations count="1">
    <dataValidation type="decimal" operator="notEqual" allowBlank="1" showInputMessage="1" showErrorMessage="1" errorTitle="Fehler / Erreur" error="Dert Wert Null ist ungültig! Zelle leer lassen._x000a__x000a_La valeur zéro n'est pas valide! Ne mettez rien dans cette cellule." sqref="D18:D26" xr:uid="{00000000-0002-0000-0100-000000000000}">
      <formula1>0</formula1>
    </dataValidation>
  </dataValidations>
  <printOptions horizontalCentered="1"/>
  <pageMargins left="0.31496062992125984" right="0.31496062992125984" top="0.27559055118110237" bottom="0.51181102362204722" header="0.19685039370078741" footer="0.31496062992125984"/>
  <pageSetup paperSize="9" scale="89" fitToHeight="2" orientation="portrait" r:id="rId1"/>
  <headerFooter>
    <oddFooter>&amp;R&amp;8Version 2022 - 1.0</oddFooter>
  </headerFooter>
  <rowBreaks count="1" manualBreakCount="1">
    <brk id="6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autoLine="0" autoPict="0">
                <anchor moveWithCells="1">
                  <from>
                    <xdr:col>6</xdr:col>
                    <xdr:colOff>504825</xdr:colOff>
                    <xdr:row>5</xdr:row>
                    <xdr:rowOff>19050</xdr:rowOff>
                  </from>
                  <to>
                    <xdr:col>8</xdr:col>
                    <xdr:colOff>9525</xdr:colOff>
                    <xdr:row>6</xdr:row>
                    <xdr:rowOff>66675</xdr:rowOff>
                  </to>
                </anchor>
              </controlPr>
            </control>
          </mc:Choice>
        </mc:AlternateContent>
        <mc:AlternateContent xmlns:mc="http://schemas.openxmlformats.org/markup-compatibility/2006">
          <mc:Choice Requires="x14">
            <control shapeId="1029" r:id="rId5" name="Drop Down 5">
              <controlPr defaultSize="0" print="0" autoLine="0" autoPict="0">
                <anchor moveWithCells="1">
                  <from>
                    <xdr:col>5</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031" r:id="rId6" name="Drop Down 7">
              <controlPr defaultSize="0" autoLine="0" autoPict="0">
                <anchor moveWithCells="1">
                  <from>
                    <xdr:col>1</xdr:col>
                    <xdr:colOff>9525</xdr:colOff>
                    <xdr:row>9</xdr:row>
                    <xdr:rowOff>0</xdr:rowOff>
                  </from>
                  <to>
                    <xdr:col>3</xdr:col>
                    <xdr:colOff>676275</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AK238"/>
  <sheetViews>
    <sheetView topLeftCell="B1" zoomScaleNormal="100" workbookViewId="0">
      <pane xSplit="4" ySplit="3" topLeftCell="F18" activePane="bottomRight" state="frozen"/>
      <selection activeCell="M29" sqref="M29"/>
      <selection pane="topRight" activeCell="M29" sqref="M29"/>
      <selection pane="bottomLeft" activeCell="M29" sqref="M29"/>
      <selection pane="bottomRight" activeCell="M29" sqref="M29"/>
    </sheetView>
  </sheetViews>
  <sheetFormatPr baseColWidth="10" defaultColWidth="11.42578125" defaultRowHeight="12.75" x14ac:dyDescent="0.2"/>
  <cols>
    <col min="1" max="1" width="11.42578125" style="230"/>
    <col min="2" max="2" width="4.140625" style="6" customWidth="1"/>
    <col min="3" max="4" width="50.5703125" style="76" customWidth="1"/>
    <col min="5" max="5" width="9.140625" style="76" customWidth="1"/>
    <col min="6" max="6" width="11.85546875" style="193" customWidth="1"/>
    <col min="7" max="7" width="9.7109375" style="11" customWidth="1"/>
    <col min="8" max="12" width="9.42578125" style="230" customWidth="1"/>
    <col min="13" max="13" width="9.7109375" style="11" customWidth="1"/>
    <col min="14" max="18" width="9.42578125" style="73" customWidth="1"/>
    <col min="19" max="19" width="9.7109375" style="11" customWidth="1"/>
    <col min="20" max="24" width="9.42578125" style="73" customWidth="1"/>
    <col min="25" max="25" width="9.7109375" style="11" customWidth="1"/>
    <col min="26" max="36" width="9.42578125" style="73" customWidth="1"/>
    <col min="37" max="37" width="190" style="73" bestFit="1" customWidth="1"/>
    <col min="38" max="16384" width="11.42578125" style="6"/>
  </cols>
  <sheetData>
    <row r="1" spans="1:37" ht="18.75" x14ac:dyDescent="0.3">
      <c r="B1" s="92"/>
      <c r="F1" s="391" t="s">
        <v>273</v>
      </c>
      <c r="G1" s="371" t="s">
        <v>387</v>
      </c>
      <c r="H1" s="389"/>
      <c r="I1" s="389"/>
      <c r="J1" s="389"/>
      <c r="K1" s="389"/>
      <c r="L1" s="390"/>
      <c r="M1" s="371">
        <v>2021</v>
      </c>
      <c r="N1" s="389"/>
      <c r="O1" s="389"/>
      <c r="P1" s="389"/>
      <c r="Q1" s="389"/>
      <c r="R1" s="390"/>
      <c r="S1" s="371">
        <v>2020</v>
      </c>
      <c r="T1" s="389"/>
      <c r="U1" s="389"/>
      <c r="V1" s="389"/>
      <c r="W1" s="389"/>
      <c r="X1" s="390"/>
      <c r="Y1" s="371">
        <v>2019</v>
      </c>
      <c r="Z1" s="389"/>
      <c r="AA1" s="389"/>
      <c r="AB1" s="389"/>
      <c r="AC1" s="389"/>
      <c r="AD1" s="390"/>
      <c r="AE1" s="371">
        <v>2018</v>
      </c>
      <c r="AF1" s="372"/>
      <c r="AG1" s="372"/>
      <c r="AH1" s="372"/>
      <c r="AI1" s="372"/>
      <c r="AJ1" s="372"/>
    </row>
    <row r="2" spans="1:37" ht="15" customHeight="1" x14ac:dyDescent="0.25">
      <c r="C2" s="137" t="s">
        <v>272</v>
      </c>
      <c r="D2" s="137" t="s">
        <v>278</v>
      </c>
      <c r="E2" s="204" t="s">
        <v>279</v>
      </c>
      <c r="F2" s="391"/>
      <c r="G2" s="203" t="s">
        <v>322</v>
      </c>
      <c r="H2" s="376" t="s">
        <v>274</v>
      </c>
      <c r="I2" s="377"/>
      <c r="J2" s="377"/>
      <c r="K2" s="377"/>
      <c r="L2" s="378"/>
      <c r="M2" s="203" t="s">
        <v>322</v>
      </c>
      <c r="N2" s="376" t="s">
        <v>274</v>
      </c>
      <c r="O2" s="377"/>
      <c r="P2" s="377"/>
      <c r="Q2" s="377"/>
      <c r="R2" s="378"/>
      <c r="S2" s="203" t="s">
        <v>322</v>
      </c>
      <c r="T2" s="376" t="s">
        <v>274</v>
      </c>
      <c r="U2" s="377"/>
      <c r="V2" s="377"/>
      <c r="W2" s="377"/>
      <c r="X2" s="378"/>
      <c r="Y2" s="146"/>
      <c r="Z2" s="376" t="s">
        <v>274</v>
      </c>
      <c r="AA2" s="377"/>
      <c r="AB2" s="377"/>
      <c r="AC2" s="377"/>
      <c r="AD2" s="378"/>
      <c r="AE2" s="233"/>
      <c r="AF2" s="376" t="s">
        <v>274</v>
      </c>
      <c r="AG2" s="377"/>
      <c r="AH2" s="377"/>
      <c r="AI2" s="377"/>
      <c r="AJ2" s="378"/>
      <c r="AK2" s="7" t="s">
        <v>277</v>
      </c>
    </row>
    <row r="3" spans="1:37" x14ac:dyDescent="0.2">
      <c r="B3" s="151">
        <v>1</v>
      </c>
      <c r="C3" s="136"/>
      <c r="D3" s="138">
        <v>1</v>
      </c>
      <c r="E3" s="205">
        <v>2</v>
      </c>
      <c r="F3" s="391"/>
      <c r="G3" s="239"/>
      <c r="H3" s="243"/>
      <c r="I3" s="231"/>
      <c r="J3" s="231"/>
      <c r="K3" s="231"/>
      <c r="L3" s="238"/>
      <c r="M3" s="155"/>
      <c r="N3" s="160"/>
      <c r="O3" s="8"/>
      <c r="P3" s="8"/>
      <c r="Q3" s="8"/>
      <c r="R3" s="151"/>
      <c r="S3" s="155"/>
      <c r="T3" s="160"/>
      <c r="U3" s="8"/>
      <c r="V3" s="8"/>
      <c r="W3" s="8"/>
      <c r="X3" s="151"/>
      <c r="Y3" s="155"/>
      <c r="Z3" s="160"/>
      <c r="AA3" s="8"/>
      <c r="AB3" s="8"/>
      <c r="AC3" s="8"/>
      <c r="AD3" s="151"/>
      <c r="AE3" s="231"/>
      <c r="AF3" s="243"/>
      <c r="AG3" s="231"/>
      <c r="AH3" s="231"/>
      <c r="AI3" s="231"/>
      <c r="AJ3" s="238"/>
    </row>
    <row r="4" spans="1:37" x14ac:dyDescent="0.2">
      <c r="B4" s="151">
        <v>2</v>
      </c>
      <c r="C4" s="136" t="str">
        <f>HLOOKUP(Auswahl!$A$2,$D$3:$E$199,$B4,FALSE)</f>
        <v>Cultures</v>
      </c>
      <c r="D4" s="139" t="s">
        <v>0</v>
      </c>
      <c r="E4" s="139" t="s">
        <v>69</v>
      </c>
      <c r="F4" s="139" t="s">
        <v>312</v>
      </c>
      <c r="G4" s="156" t="s">
        <v>5</v>
      </c>
      <c r="H4" s="373"/>
      <c r="I4" s="374"/>
      <c r="J4" s="374"/>
      <c r="K4" s="374"/>
      <c r="L4" s="375"/>
      <c r="M4" s="156" t="s">
        <v>5</v>
      </c>
      <c r="N4" s="373"/>
      <c r="O4" s="374"/>
      <c r="P4" s="374"/>
      <c r="Q4" s="374"/>
      <c r="R4" s="375"/>
      <c r="S4" s="156" t="s">
        <v>5</v>
      </c>
      <c r="T4" s="373"/>
      <c r="U4" s="374"/>
      <c r="V4" s="374"/>
      <c r="W4" s="374"/>
      <c r="X4" s="375"/>
      <c r="Y4" s="156" t="s">
        <v>5</v>
      </c>
      <c r="Z4" s="373"/>
      <c r="AA4" s="374"/>
      <c r="AB4" s="374"/>
      <c r="AC4" s="374"/>
      <c r="AD4" s="375"/>
      <c r="AE4" s="234" t="s">
        <v>5</v>
      </c>
      <c r="AF4" s="373"/>
      <c r="AG4" s="374"/>
      <c r="AH4" s="374"/>
      <c r="AI4" s="374"/>
      <c r="AJ4" s="375"/>
      <c r="AK4" s="13" t="s">
        <v>320</v>
      </c>
    </row>
    <row r="5" spans="1:37" x14ac:dyDescent="0.2">
      <c r="B5" s="151">
        <v>3</v>
      </c>
      <c r="C5" s="136" t="str">
        <f>HLOOKUP(Auswahl!$A$2,$D$3:$E$199,$B5,FALSE)</f>
        <v/>
      </c>
      <c r="D5" s="170" t="s">
        <v>151</v>
      </c>
      <c r="E5" s="170" t="s">
        <v>151</v>
      </c>
      <c r="F5" s="170"/>
      <c r="G5" s="251"/>
      <c r="H5" s="243"/>
      <c r="I5" s="231"/>
      <c r="J5" s="231"/>
      <c r="K5" s="231"/>
      <c r="L5" s="238"/>
      <c r="M5" s="171"/>
      <c r="N5" s="160"/>
      <c r="O5" s="8"/>
      <c r="P5" s="8"/>
      <c r="Q5" s="8"/>
      <c r="R5" s="151"/>
      <c r="S5" s="171"/>
      <c r="T5" s="160"/>
      <c r="U5" s="8"/>
      <c r="V5" s="8"/>
      <c r="W5" s="8"/>
      <c r="X5" s="151"/>
      <c r="Y5" s="171"/>
      <c r="Z5" s="160"/>
      <c r="AA5" s="8"/>
      <c r="AB5" s="8"/>
      <c r="AC5" s="8"/>
      <c r="AD5" s="151"/>
      <c r="AE5" s="231"/>
      <c r="AF5" s="243"/>
      <c r="AG5" s="231"/>
      <c r="AH5" s="231"/>
      <c r="AI5" s="231"/>
      <c r="AJ5" s="238"/>
    </row>
    <row r="6" spans="1:37" x14ac:dyDescent="0.2">
      <c r="B6" s="151">
        <v>4</v>
      </c>
      <c r="C6" s="136" t="str">
        <f>HLOOKUP(Auswahl!$A$2,$D$3:$E$199,$B6,FALSE)</f>
        <v>Prairies intensives</v>
      </c>
      <c r="D6" s="138" t="s">
        <v>18</v>
      </c>
      <c r="E6" s="138" t="s">
        <v>70</v>
      </c>
      <c r="F6" s="191">
        <f>ROUND(AVERAGE(Y6,M6,S6,AE6,G6),-1)</f>
        <v>410</v>
      </c>
      <c r="G6" s="240">
        <f>0.75*H6+0.25*I6</f>
        <v>85.75</v>
      </c>
      <c r="H6" s="244">
        <v>206</v>
      </c>
      <c r="I6" s="237">
        <v>-275</v>
      </c>
      <c r="J6" s="231"/>
      <c r="K6" s="231"/>
      <c r="L6" s="238"/>
      <c r="M6" s="157">
        <f>0.75*N6+0.25*O6</f>
        <v>1716.75</v>
      </c>
      <c r="N6" s="161">
        <v>1776</v>
      </c>
      <c r="O6" s="31">
        <v>1539</v>
      </c>
      <c r="P6" s="8"/>
      <c r="Q6" s="8"/>
      <c r="R6" s="151"/>
      <c r="S6" s="157">
        <f>0.75*T6+0.25*U6</f>
        <v>45.25</v>
      </c>
      <c r="T6" s="161">
        <v>160</v>
      </c>
      <c r="U6" s="31">
        <v>-299</v>
      </c>
      <c r="V6" s="8"/>
      <c r="W6" s="8"/>
      <c r="X6" s="151"/>
      <c r="Y6" s="157">
        <f>0.75*Z6+0.25*AA6</f>
        <v>92.5</v>
      </c>
      <c r="Z6" s="161">
        <v>211</v>
      </c>
      <c r="AA6" s="31">
        <v>-263</v>
      </c>
      <c r="AB6" s="8"/>
      <c r="AC6" s="8"/>
      <c r="AD6" s="151"/>
      <c r="AE6" s="240">
        <f>0.75*AF6+0.25*AG6</f>
        <v>105.25</v>
      </c>
      <c r="AF6" s="244">
        <v>223</v>
      </c>
      <c r="AG6" s="237">
        <v>-248</v>
      </c>
      <c r="AH6" s="231"/>
      <c r="AI6" s="231"/>
      <c r="AJ6" s="238"/>
      <c r="AK6" s="26" t="s">
        <v>48</v>
      </c>
    </row>
    <row r="7" spans="1:37" x14ac:dyDescent="0.2">
      <c r="B7" s="151">
        <v>5</v>
      </c>
      <c r="C7" s="136" t="str">
        <f>HLOOKUP(Auswahl!$A$2,$D$3:$E$199,$B7,FALSE)</f>
        <v>Prairies intensives, vente de fourrages</v>
      </c>
      <c r="D7" s="138" t="s">
        <v>254</v>
      </c>
      <c r="E7" s="138" t="s">
        <v>251</v>
      </c>
      <c r="F7" s="259">
        <f t="shared" ref="F7:F19" si="0">ROUND(AVERAGE(Y7,M7,S7,AE7,G7),-1)</f>
        <v>3260</v>
      </c>
      <c r="G7" s="240">
        <f>0.75*H7+0.25*I7</f>
        <v>3274.25</v>
      </c>
      <c r="H7" s="244">
        <v>3308</v>
      </c>
      <c r="I7" s="237">
        <v>3173</v>
      </c>
      <c r="J7" s="231"/>
      <c r="K7" s="231"/>
      <c r="L7" s="238"/>
      <c r="M7" s="157">
        <f>0.75*N7+0.25*O7</f>
        <v>2655.5</v>
      </c>
      <c r="N7" s="161">
        <v>2748</v>
      </c>
      <c r="O7" s="31">
        <v>2378</v>
      </c>
      <c r="P7" s="8"/>
      <c r="Q7" s="8"/>
      <c r="R7" s="151"/>
      <c r="S7" s="157">
        <f>0.75*T7+0.25*U7</f>
        <v>3235.5</v>
      </c>
      <c r="T7" s="161">
        <v>3244</v>
      </c>
      <c r="U7" s="31">
        <v>3210</v>
      </c>
      <c r="V7" s="8"/>
      <c r="W7" s="8"/>
      <c r="X7" s="151"/>
      <c r="Y7" s="240">
        <f>0.75*Z7+0.25*AA7</f>
        <v>3564</v>
      </c>
      <c r="Z7" s="161">
        <v>3573</v>
      </c>
      <c r="AA7" s="31">
        <v>3537</v>
      </c>
      <c r="AB7" s="8"/>
      <c r="AC7" s="8"/>
      <c r="AD7" s="151"/>
      <c r="AE7" s="240">
        <f>0.75*AF7+0.25*AG7</f>
        <v>3552.25</v>
      </c>
      <c r="AF7" s="244">
        <v>3594</v>
      </c>
      <c r="AG7" s="237">
        <v>3427</v>
      </c>
      <c r="AH7" s="231"/>
      <c r="AI7" s="231"/>
      <c r="AJ7" s="238"/>
      <c r="AK7" s="26" t="s">
        <v>49</v>
      </c>
    </row>
    <row r="8" spans="1:37" x14ac:dyDescent="0.2">
      <c r="B8" s="151">
        <v>6</v>
      </c>
      <c r="C8" s="136" t="str">
        <f>HLOOKUP(Auswahl!$A$2,$D$3:$E$199,$B8,FALSE)</f>
        <v>Prairies SPB peu intensives</v>
      </c>
      <c r="D8" s="138" t="s">
        <v>19</v>
      </c>
      <c r="E8" s="138" t="s">
        <v>71</v>
      </c>
      <c r="F8" s="259">
        <f t="shared" si="0"/>
        <v>850</v>
      </c>
      <c r="G8" s="239">
        <f>H8</f>
        <v>662</v>
      </c>
      <c r="H8" s="244">
        <v>662</v>
      </c>
      <c r="I8" s="231"/>
      <c r="J8" s="231"/>
      <c r="K8" s="231"/>
      <c r="L8" s="238"/>
      <c r="M8" s="155">
        <f>N8</f>
        <v>1652</v>
      </c>
      <c r="N8" s="161">
        <v>1652</v>
      </c>
      <c r="O8" s="8"/>
      <c r="P8" s="8"/>
      <c r="Q8" s="8"/>
      <c r="R8" s="151"/>
      <c r="S8" s="155">
        <f>T8</f>
        <v>629</v>
      </c>
      <c r="T8" s="161">
        <v>629</v>
      </c>
      <c r="U8" s="8"/>
      <c r="V8" s="8"/>
      <c r="W8" s="8"/>
      <c r="X8" s="151"/>
      <c r="Y8" s="155">
        <f>Z8</f>
        <v>648</v>
      </c>
      <c r="Z8" s="161">
        <v>648</v>
      </c>
      <c r="AA8" s="8"/>
      <c r="AB8" s="8"/>
      <c r="AC8" s="8"/>
      <c r="AD8" s="151"/>
      <c r="AE8" s="239">
        <f>AF8</f>
        <v>670</v>
      </c>
      <c r="AF8" s="244">
        <v>670</v>
      </c>
      <c r="AG8" s="231"/>
      <c r="AH8" s="231"/>
      <c r="AI8" s="231"/>
      <c r="AJ8" s="238"/>
      <c r="AK8" s="26" t="s">
        <v>45</v>
      </c>
    </row>
    <row r="9" spans="1:37" x14ac:dyDescent="0.2">
      <c r="B9" s="151">
        <v>7</v>
      </c>
      <c r="C9" s="136" t="str">
        <f>HLOOKUP(Auswahl!$A$2,$D$3:$E$199,$B9,FALSE)</f>
        <v>Prairies SPB peu intensives, vente de fourrages</v>
      </c>
      <c r="D9" s="138" t="s">
        <v>255</v>
      </c>
      <c r="E9" s="138" t="s">
        <v>252</v>
      </c>
      <c r="F9" s="259">
        <f t="shared" si="0"/>
        <v>2480</v>
      </c>
      <c r="G9" s="241">
        <f>+G8+65*25</f>
        <v>2287</v>
      </c>
      <c r="H9" s="243"/>
      <c r="I9" s="231"/>
      <c r="J9" s="245"/>
      <c r="K9" s="245"/>
      <c r="L9" s="238"/>
      <c r="M9" s="158">
        <f>+M8+65*25</f>
        <v>3277</v>
      </c>
      <c r="N9" s="160"/>
      <c r="O9" s="8"/>
      <c r="P9" s="162"/>
      <c r="Q9" s="162"/>
      <c r="R9" s="151"/>
      <c r="S9" s="158">
        <f>+S8+65*25</f>
        <v>2254</v>
      </c>
      <c r="T9" s="160"/>
      <c r="U9" s="8"/>
      <c r="V9" s="162"/>
      <c r="W9" s="162"/>
      <c r="X9" s="151"/>
      <c r="Y9" s="158">
        <f>+Y8+65*25</f>
        <v>2273</v>
      </c>
      <c r="Z9" s="160"/>
      <c r="AA9" s="8"/>
      <c r="AB9" s="162"/>
      <c r="AC9" s="162"/>
      <c r="AD9" s="151"/>
      <c r="AE9" s="241">
        <f>+AE8+65*25</f>
        <v>2295</v>
      </c>
      <c r="AF9" s="243"/>
      <c r="AG9" s="231"/>
      <c r="AH9" s="245"/>
      <c r="AI9" s="245"/>
      <c r="AJ9" s="238"/>
      <c r="AK9" s="73" t="s">
        <v>305</v>
      </c>
    </row>
    <row r="10" spans="1:37" x14ac:dyDescent="0.2">
      <c r="B10" s="151">
        <v>8</v>
      </c>
      <c r="C10" s="136" t="str">
        <f>HLOOKUP(Auswahl!$A$2,$D$3:$E$199,$B10,FALSE)</f>
        <v>Prairies SPB extensives</v>
      </c>
      <c r="D10" s="138" t="s">
        <v>20</v>
      </c>
      <c r="E10" s="138" t="s">
        <v>72</v>
      </c>
      <c r="F10" s="259">
        <f t="shared" si="0"/>
        <v>1680</v>
      </c>
      <c r="G10" s="239">
        <f>H10</f>
        <v>1811</v>
      </c>
      <c r="H10" s="244">
        <v>1811</v>
      </c>
      <c r="I10" s="231"/>
      <c r="J10" s="231"/>
      <c r="K10" s="231"/>
      <c r="L10" s="238"/>
      <c r="M10" s="155">
        <f>N10</f>
        <v>1979</v>
      </c>
      <c r="N10" s="161">
        <v>1979</v>
      </c>
      <c r="O10" s="8"/>
      <c r="P10" s="8"/>
      <c r="Q10" s="8"/>
      <c r="R10" s="151"/>
      <c r="S10" s="155">
        <f>T10</f>
        <v>1536</v>
      </c>
      <c r="T10" s="161">
        <v>1536</v>
      </c>
      <c r="U10" s="8"/>
      <c r="V10" s="8"/>
      <c r="W10" s="8"/>
      <c r="X10" s="151"/>
      <c r="Y10" s="155">
        <f>Z10</f>
        <v>1540</v>
      </c>
      <c r="Z10" s="161">
        <v>1540</v>
      </c>
      <c r="AA10" s="8"/>
      <c r="AB10" s="8"/>
      <c r="AC10" s="8"/>
      <c r="AD10" s="151"/>
      <c r="AE10" s="239">
        <f>AF10</f>
        <v>1543</v>
      </c>
      <c r="AF10" s="244">
        <v>1543</v>
      </c>
      <c r="AG10" s="231"/>
      <c r="AH10" s="231"/>
      <c r="AI10" s="231"/>
      <c r="AJ10" s="238"/>
      <c r="AK10" s="26" t="s">
        <v>307</v>
      </c>
    </row>
    <row r="11" spans="1:37" x14ac:dyDescent="0.2">
      <c r="B11" s="151">
        <v>9</v>
      </c>
      <c r="C11" s="136" t="str">
        <f>HLOOKUP(Auswahl!$A$2,$D$3:$E$199,$B11,FALSE)</f>
        <v>Prairies SPB extensives, vente de fourrages</v>
      </c>
      <c r="D11" s="138" t="s">
        <v>256</v>
      </c>
      <c r="E11" s="138" t="s">
        <v>253</v>
      </c>
      <c r="F11" s="259">
        <f t="shared" si="0"/>
        <v>2280</v>
      </c>
      <c r="G11" s="239">
        <f>+G10+600</f>
        <v>2411</v>
      </c>
      <c r="H11" s="255"/>
      <c r="I11" s="231"/>
      <c r="J11" s="231"/>
      <c r="K11" s="231"/>
      <c r="L11" s="238"/>
      <c r="M11" s="155">
        <f>+M10+600</f>
        <v>2579</v>
      </c>
      <c r="N11" s="176"/>
      <c r="O11" s="8"/>
      <c r="P11" s="8"/>
      <c r="Q11" s="8"/>
      <c r="R11" s="151"/>
      <c r="S11" s="155">
        <f>+S10+600</f>
        <v>2136</v>
      </c>
      <c r="T11" s="176"/>
      <c r="U11" s="8"/>
      <c r="V11" s="8"/>
      <c r="W11" s="8"/>
      <c r="X11" s="151"/>
      <c r="Y11" s="155">
        <f>+Y10+600</f>
        <v>2140</v>
      </c>
      <c r="Z11" s="176"/>
      <c r="AA11" s="8"/>
      <c r="AB11" s="8"/>
      <c r="AC11" s="8"/>
      <c r="AD11" s="151"/>
      <c r="AE11" s="239">
        <f>+AE10+600</f>
        <v>2143</v>
      </c>
      <c r="AF11" s="255"/>
      <c r="AG11" s="231"/>
      <c r="AH11" s="231"/>
      <c r="AI11" s="231"/>
      <c r="AJ11" s="238"/>
      <c r="AK11" s="26" t="s">
        <v>306</v>
      </c>
    </row>
    <row r="12" spans="1:37" x14ac:dyDescent="0.2">
      <c r="B12" s="151">
        <v>10</v>
      </c>
      <c r="C12" s="136" t="str">
        <f>HLOOKUP(Auswahl!$A$2,$D$3:$E$199,$B12,FALSE)</f>
        <v>Céréales, protéagineux, oléagineux</v>
      </c>
      <c r="D12" s="140" t="s">
        <v>30</v>
      </c>
      <c r="E12" s="140" t="s">
        <v>75</v>
      </c>
      <c r="F12" s="259">
        <f t="shared" si="0"/>
        <v>2940</v>
      </c>
      <c r="G12" s="240">
        <f>0.55*H12+0.2*I12+0.1*J12+0.08*K12+0.08*L12</f>
        <v>3059.3500000000004</v>
      </c>
      <c r="H12" s="244">
        <v>3373</v>
      </c>
      <c r="I12" s="237">
        <v>2538</v>
      </c>
      <c r="J12" s="237">
        <v>3158</v>
      </c>
      <c r="K12" s="237">
        <v>2492</v>
      </c>
      <c r="L12" s="246">
        <v>2268</v>
      </c>
      <c r="M12" s="157">
        <f>0.55*N12+0.2*O12+0.1*P12+0.08*Q12+0.08*R12</f>
        <v>2929.53</v>
      </c>
      <c r="N12" s="161">
        <v>3041</v>
      </c>
      <c r="O12" s="31">
        <v>2699</v>
      </c>
      <c r="P12" s="31">
        <v>3295</v>
      </c>
      <c r="Q12" s="31">
        <v>2557</v>
      </c>
      <c r="R12" s="163">
        <v>2289</v>
      </c>
      <c r="S12" s="157">
        <f>0.55*T12+0.2*U12+0.1*V12+0.08*W12+0.08*X12</f>
        <v>2944.88</v>
      </c>
      <c r="T12" s="161">
        <v>3080</v>
      </c>
      <c r="U12" s="31">
        <v>2744</v>
      </c>
      <c r="V12" s="31">
        <v>3192</v>
      </c>
      <c r="W12" s="31">
        <v>2614</v>
      </c>
      <c r="X12" s="163">
        <v>2172</v>
      </c>
      <c r="Y12" s="240">
        <f>0.55*Z12+0.2*AA12+0.1*AB12+0.08*AC12+0.08*AD12</f>
        <v>2882.3100000000004</v>
      </c>
      <c r="Z12" s="161">
        <v>3067</v>
      </c>
      <c r="AA12" s="31">
        <v>2580</v>
      </c>
      <c r="AB12" s="31">
        <v>3101</v>
      </c>
      <c r="AC12" s="31">
        <v>2488</v>
      </c>
      <c r="AD12" s="163">
        <v>2129</v>
      </c>
      <c r="AE12" s="240">
        <f>0.55*AF12+0.2*AG12+0.1*AH12+0.08*AI12+0.08*AJ12</f>
        <v>2899.0200000000004</v>
      </c>
      <c r="AF12" s="244">
        <v>3114</v>
      </c>
      <c r="AG12" s="237">
        <v>2473</v>
      </c>
      <c r="AH12" s="237">
        <v>3246</v>
      </c>
      <c r="AI12" s="237">
        <v>2436</v>
      </c>
      <c r="AJ12" s="246">
        <v>2153</v>
      </c>
      <c r="AK12" s="192" t="s">
        <v>50</v>
      </c>
    </row>
    <row r="13" spans="1:37" s="73" customFormat="1" x14ac:dyDescent="0.2">
      <c r="A13" s="230"/>
      <c r="B13" s="151">
        <v>11</v>
      </c>
      <c r="C13" s="190" t="str">
        <f>HLOOKUP(Auswahl!$A$2,$D$3:$E$199,$B13,FALSE)</f>
        <v>Maïs affouragé et betteraves fourragères</v>
      </c>
      <c r="D13" s="197" t="s">
        <v>308</v>
      </c>
      <c r="E13" s="140" t="s">
        <v>316</v>
      </c>
      <c r="F13" s="259">
        <f t="shared" si="0"/>
        <v>-300</v>
      </c>
      <c r="G13" s="240">
        <f>H13*0.8+I13*0.2</f>
        <v>-291.60000000000002</v>
      </c>
      <c r="H13" s="244">
        <f>2386-2373</f>
        <v>13</v>
      </c>
      <c r="I13" s="237">
        <f>4954-6464</f>
        <v>-1510</v>
      </c>
      <c r="J13" s="232"/>
      <c r="K13" s="232"/>
      <c r="L13" s="260"/>
      <c r="M13" s="157">
        <f>N13*0.8+O13*0.2</f>
        <v>-355.6</v>
      </c>
      <c r="N13" s="161">
        <f>2447-2486</f>
        <v>-39</v>
      </c>
      <c r="O13" s="31">
        <f>4842-6464</f>
        <v>-1622</v>
      </c>
      <c r="P13" s="9"/>
      <c r="Q13" s="9"/>
      <c r="R13" s="199"/>
      <c r="S13" s="157">
        <f>T13*0.8+U13*0.2</f>
        <v>-309.8</v>
      </c>
      <c r="T13" s="161">
        <f>2419-2486</f>
        <v>-67</v>
      </c>
      <c r="U13" s="31">
        <f>5183-6464</f>
        <v>-1281</v>
      </c>
      <c r="V13" s="9"/>
      <c r="W13" s="9"/>
      <c r="X13" s="199"/>
      <c r="Y13" s="157">
        <f>Z13*0.8+AA13*0.2</f>
        <v>-287.40000000000003</v>
      </c>
      <c r="Z13" s="161">
        <f>2425-2486</f>
        <v>-61</v>
      </c>
      <c r="AA13" s="31">
        <f>5271-6464</f>
        <v>-1193</v>
      </c>
      <c r="AB13" s="9"/>
      <c r="AC13" s="9"/>
      <c r="AD13" s="199"/>
      <c r="AE13" s="240">
        <f>AF13*0.8+AG13*0.2</f>
        <v>-255</v>
      </c>
      <c r="AF13" s="244">
        <f>2353-2373</f>
        <v>-20</v>
      </c>
      <c r="AG13" s="237">
        <f>5269-6464</f>
        <v>-1195</v>
      </c>
      <c r="AH13" s="232"/>
      <c r="AI13" s="232"/>
      <c r="AJ13" s="260"/>
      <c r="AK13" s="47" t="s">
        <v>325</v>
      </c>
    </row>
    <row r="14" spans="1:37" s="73" customFormat="1" x14ac:dyDescent="0.2">
      <c r="A14" s="230"/>
      <c r="B14" s="151">
        <v>12</v>
      </c>
      <c r="C14" s="190" t="str">
        <f>HLOOKUP(Auswahl!$A$2,$D$3:$E$199,$B14,FALSE)</f>
        <v>Maïs affouragé / betteraves fourragères (vente)</v>
      </c>
      <c r="D14" s="197" t="s">
        <v>310</v>
      </c>
      <c r="E14" s="140" t="s">
        <v>311</v>
      </c>
      <c r="F14" s="259">
        <f t="shared" si="0"/>
        <v>2950</v>
      </c>
      <c r="G14" s="240">
        <f>H14*0.8+I14*0.2</f>
        <v>2899.6000000000004</v>
      </c>
      <c r="H14" s="244">
        <v>2386</v>
      </c>
      <c r="I14" s="237">
        <v>4954</v>
      </c>
      <c r="J14" s="232"/>
      <c r="K14" s="232"/>
      <c r="L14" s="260"/>
      <c r="M14" s="157">
        <f>N14*0.8+O14*0.2</f>
        <v>2926</v>
      </c>
      <c r="N14" s="161">
        <v>2447</v>
      </c>
      <c r="O14" s="31">
        <v>4842</v>
      </c>
      <c r="P14" s="9"/>
      <c r="Q14" s="9"/>
      <c r="R14" s="199"/>
      <c r="S14" s="157">
        <f>T14*0.8+U14*0.2</f>
        <v>2971.8</v>
      </c>
      <c r="T14" s="161">
        <v>2419</v>
      </c>
      <c r="U14" s="31">
        <v>5183</v>
      </c>
      <c r="V14" s="9"/>
      <c r="W14" s="9"/>
      <c r="X14" s="199"/>
      <c r="Y14" s="157">
        <f>Z14*0.8+AA14*0.2</f>
        <v>2994.2</v>
      </c>
      <c r="Z14" s="161">
        <v>2425</v>
      </c>
      <c r="AA14" s="31">
        <v>5271</v>
      </c>
      <c r="AB14" s="9"/>
      <c r="AC14" s="9"/>
      <c r="AD14" s="199"/>
      <c r="AE14" s="240">
        <f>AF14*0.8+AG14*0.2</f>
        <v>2936.2</v>
      </c>
      <c r="AF14" s="244">
        <v>2353</v>
      </c>
      <c r="AG14" s="237">
        <v>5269</v>
      </c>
      <c r="AH14" s="232"/>
      <c r="AI14" s="232"/>
      <c r="AJ14" s="260"/>
      <c r="AK14" s="47" t="s">
        <v>326</v>
      </c>
    </row>
    <row r="15" spans="1:37" x14ac:dyDescent="0.2">
      <c r="B15" s="151">
        <v>13</v>
      </c>
      <c r="C15" s="190" t="str">
        <f>HLOOKUP(Auswahl!$A$2,$D$3:$E$199,$B15,FALSE)</f>
        <v>Maïs grain, betteraves sucrières, patates</v>
      </c>
      <c r="D15" s="140" t="s">
        <v>317</v>
      </c>
      <c r="E15" s="140" t="s">
        <v>318</v>
      </c>
      <c r="F15" s="259">
        <f t="shared" si="0"/>
        <v>5220</v>
      </c>
      <c r="G15" s="240">
        <f>H15*0.4+I15*0.36+J15*0.24</f>
        <v>5166.32</v>
      </c>
      <c r="H15" s="237">
        <v>4037</v>
      </c>
      <c r="I15" s="237">
        <v>8250</v>
      </c>
      <c r="J15" s="237">
        <v>2423</v>
      </c>
      <c r="L15" s="238"/>
      <c r="M15" s="157">
        <f>N15*0.4+O15*0.36+P15*0.24</f>
        <v>4883</v>
      </c>
      <c r="N15" s="31">
        <v>4331</v>
      </c>
      <c r="O15" s="31">
        <v>7079</v>
      </c>
      <c r="P15" s="31">
        <v>2509</v>
      </c>
      <c r="R15" s="151"/>
      <c r="S15" s="157">
        <f>T15*0.4+U15*0.36+V15*0.24</f>
        <v>5395.4400000000005</v>
      </c>
      <c r="T15" s="31">
        <v>4665</v>
      </c>
      <c r="U15" s="31">
        <v>8258</v>
      </c>
      <c r="V15" s="31">
        <v>2319</v>
      </c>
      <c r="X15" s="151"/>
      <c r="Y15" s="157">
        <f>Z15*0.4+AA15*0.36+AB15*0.24</f>
        <v>5324.72</v>
      </c>
      <c r="Z15" s="31">
        <v>4301</v>
      </c>
      <c r="AA15" s="31">
        <v>8452</v>
      </c>
      <c r="AB15" s="31">
        <v>2340</v>
      </c>
      <c r="AD15" s="151"/>
      <c r="AE15" s="240">
        <f>AF15*0.4+AG15*0.36+AH15*0.24</f>
        <v>5342.68</v>
      </c>
      <c r="AF15" s="244">
        <f>4159+300</f>
        <v>4459</v>
      </c>
      <c r="AG15" s="237">
        <v>8303</v>
      </c>
      <c r="AH15" s="237">
        <v>2375</v>
      </c>
      <c r="AI15" s="232"/>
      <c r="AJ15" s="238"/>
      <c r="AK15" s="54" t="s">
        <v>319</v>
      </c>
    </row>
    <row r="16" spans="1:37" x14ac:dyDescent="0.2">
      <c r="B16" s="151">
        <v>14</v>
      </c>
      <c r="C16" s="190" t="str">
        <f>HLOOKUP(Auswahl!$A$2,$D$3:$E$199,$B16,FALSE)</f>
        <v>Légumes en plein champ</v>
      </c>
      <c r="D16" s="138" t="s">
        <v>324</v>
      </c>
      <c r="E16" s="138" t="s">
        <v>323</v>
      </c>
      <c r="F16" s="259">
        <f t="shared" si="0"/>
        <v>48330</v>
      </c>
      <c r="G16" s="240"/>
      <c r="H16" s="164"/>
      <c r="I16" s="237"/>
      <c r="J16" s="32"/>
      <c r="K16" s="32"/>
      <c r="L16" s="165"/>
      <c r="M16" s="157"/>
      <c r="N16" s="164"/>
      <c r="O16" s="31"/>
      <c r="P16" s="32"/>
      <c r="Q16" s="32"/>
      <c r="R16" s="165"/>
      <c r="S16" s="157"/>
      <c r="T16" s="164"/>
      <c r="U16" s="31"/>
      <c r="V16" s="32"/>
      <c r="W16" s="32"/>
      <c r="X16" s="165"/>
      <c r="Y16" s="157">
        <f>Z16*0.3+AA16*0.25+AB16*0.18+AC16*0.16+AD16*0.14</f>
        <v>48326.400000000001</v>
      </c>
      <c r="Z16" s="164">
        <v>11327</v>
      </c>
      <c r="AA16" s="237">
        <v>19986</v>
      </c>
      <c r="AB16" s="32">
        <f>15907*2</f>
        <v>31814</v>
      </c>
      <c r="AC16" s="32">
        <f>2*29223</f>
        <v>58446</v>
      </c>
      <c r="AD16" s="165">
        <f>2*88764</f>
        <v>177528</v>
      </c>
      <c r="AE16" s="240"/>
      <c r="AF16" s="264"/>
      <c r="AG16" s="265"/>
      <c r="AH16" s="266"/>
      <c r="AI16" s="266"/>
      <c r="AJ16" s="267"/>
      <c r="AK16" s="26" t="s">
        <v>327</v>
      </c>
    </row>
    <row r="17" spans="2:37" x14ac:dyDescent="0.2">
      <c r="B17" s="151">
        <v>15</v>
      </c>
      <c r="C17" s="190" t="str">
        <f>HLOOKUP(Auswahl!$A$2,$D$3:$E$199,$B17,FALSE)</f>
        <v>Cultures pérennes</v>
      </c>
      <c r="D17" s="138" t="s">
        <v>23</v>
      </c>
      <c r="E17" s="138" t="s">
        <v>76</v>
      </c>
      <c r="F17" s="259">
        <f t="shared" si="0"/>
        <v>24020</v>
      </c>
      <c r="G17" s="240">
        <f>0.4*H17+0.4*I17+0.2*J17</f>
        <v>23953.599999999999</v>
      </c>
      <c r="H17" s="244">
        <v>17293</v>
      </c>
      <c r="I17" s="237">
        <v>17472</v>
      </c>
      <c r="J17" s="237">
        <v>50238</v>
      </c>
      <c r="K17" s="231"/>
      <c r="L17" s="238"/>
      <c r="M17" s="157">
        <f>0.4*N17+0.4*O17+0.2*P17</f>
        <v>26047.200000000001</v>
      </c>
      <c r="N17" s="161">
        <v>19329</v>
      </c>
      <c r="O17" s="31">
        <v>18754</v>
      </c>
      <c r="P17" s="31">
        <v>54070</v>
      </c>
      <c r="Q17" s="8"/>
      <c r="R17" s="151"/>
      <c r="S17" s="157">
        <f>0.4*T17+0.4*U17+0.2*V17</f>
        <v>23064.6</v>
      </c>
      <c r="T17" s="161">
        <v>17292</v>
      </c>
      <c r="U17" s="31">
        <v>17472</v>
      </c>
      <c r="V17" s="31">
        <v>45795</v>
      </c>
      <c r="W17" s="8"/>
      <c r="X17" s="151"/>
      <c r="Y17" s="157">
        <f>0.4*Z17+0.4*AA17+0.2*AB17</f>
        <v>23065</v>
      </c>
      <c r="Z17" s="161">
        <v>17293</v>
      </c>
      <c r="AA17" s="31">
        <v>17472</v>
      </c>
      <c r="AB17" s="31">
        <v>45795</v>
      </c>
      <c r="AC17" s="8"/>
      <c r="AD17" s="151"/>
      <c r="AE17" s="240">
        <f>0.4*AF17+0.4*AG17+0.2*AH17</f>
        <v>23953.599999999999</v>
      </c>
      <c r="AF17" s="244">
        <v>17293</v>
      </c>
      <c r="AG17" s="237">
        <v>17472</v>
      </c>
      <c r="AH17" s="237">
        <v>50238</v>
      </c>
      <c r="AI17" s="231"/>
      <c r="AJ17" s="238"/>
      <c r="AK17" s="26" t="s">
        <v>51</v>
      </c>
    </row>
    <row r="18" spans="2:37" x14ac:dyDescent="0.2">
      <c r="B18" s="151">
        <v>16</v>
      </c>
      <c r="C18" s="190" t="str">
        <f>HLOOKUP(Auswahl!$A$2,$D$3:$E$199,$B18,FALSE)</f>
        <v>Jachère florale ou tournante</v>
      </c>
      <c r="D18" s="138" t="s">
        <v>31</v>
      </c>
      <c r="E18" s="138" t="s">
        <v>77</v>
      </c>
      <c r="F18" s="259">
        <f t="shared" si="0"/>
        <v>3060</v>
      </c>
      <c r="G18" s="240">
        <f>H18</f>
        <v>3047</v>
      </c>
      <c r="H18" s="244">
        <v>3047</v>
      </c>
      <c r="I18" s="231"/>
      <c r="J18" s="231"/>
      <c r="K18" s="231"/>
      <c r="L18" s="238"/>
      <c r="M18" s="157">
        <f>N18</f>
        <v>3039</v>
      </c>
      <c r="N18" s="161">
        <v>3039</v>
      </c>
      <c r="O18" s="8"/>
      <c r="P18" s="8"/>
      <c r="Q18" s="8"/>
      <c r="R18" s="151"/>
      <c r="S18" s="157">
        <f>T18</f>
        <v>3070</v>
      </c>
      <c r="T18" s="161">
        <v>3070</v>
      </c>
      <c r="U18" s="8"/>
      <c r="V18" s="8"/>
      <c r="W18" s="8"/>
      <c r="X18" s="151"/>
      <c r="Y18" s="157">
        <f>Z18</f>
        <v>3092</v>
      </c>
      <c r="Z18" s="161">
        <v>3092</v>
      </c>
      <c r="AA18" s="8"/>
      <c r="AB18" s="8"/>
      <c r="AC18" s="8"/>
      <c r="AD18" s="151"/>
      <c r="AE18" s="240">
        <f>AF18</f>
        <v>3065</v>
      </c>
      <c r="AF18" s="244">
        <v>3065</v>
      </c>
      <c r="AG18" s="231"/>
      <c r="AH18" s="231"/>
      <c r="AI18" s="231"/>
      <c r="AJ18" s="238"/>
      <c r="AK18" s="26" t="s">
        <v>47</v>
      </c>
    </row>
    <row r="19" spans="2:37" x14ac:dyDescent="0.2">
      <c r="B19" s="151">
        <v>17</v>
      </c>
      <c r="C19" s="190" t="str">
        <f>HLOOKUP(Auswahl!$A$2,$D$3:$E$199,$B19,FALSE)</f>
        <v>Tabac</v>
      </c>
      <c r="D19" s="138" t="s">
        <v>24</v>
      </c>
      <c r="E19" s="138" t="s">
        <v>78</v>
      </c>
      <c r="F19" s="259">
        <f t="shared" si="0"/>
        <v>26360</v>
      </c>
      <c r="G19" s="239">
        <f>H19</f>
        <v>24482</v>
      </c>
      <c r="H19" s="244">
        <v>24482</v>
      </c>
      <c r="I19" s="232"/>
      <c r="J19" s="232"/>
      <c r="K19" s="232"/>
      <c r="L19" s="260"/>
      <c r="M19" s="155">
        <f>N19</f>
        <v>27229</v>
      </c>
      <c r="N19" s="161">
        <v>27229</v>
      </c>
      <c r="O19" s="9"/>
      <c r="P19" s="9"/>
      <c r="Q19" s="9"/>
      <c r="R19" s="199"/>
      <c r="S19" s="155">
        <f>T19</f>
        <v>27226</v>
      </c>
      <c r="T19" s="161">
        <v>27226</v>
      </c>
      <c r="U19" s="9"/>
      <c r="V19" s="9"/>
      <c r="W19" s="9"/>
      <c r="X19" s="199"/>
      <c r="Y19" s="155">
        <f>Z19</f>
        <v>26423</v>
      </c>
      <c r="Z19" s="161">
        <v>26423</v>
      </c>
      <c r="AA19" s="9"/>
      <c r="AB19" s="9"/>
      <c r="AC19" s="9"/>
      <c r="AD19" s="199"/>
      <c r="AE19" s="239">
        <f>AF19</f>
        <v>26451</v>
      </c>
      <c r="AF19" s="244">
        <v>26451</v>
      </c>
      <c r="AG19" s="231"/>
      <c r="AH19" s="231"/>
      <c r="AI19" s="231"/>
      <c r="AJ19" s="238"/>
      <c r="AK19" s="54" t="s">
        <v>321</v>
      </c>
    </row>
    <row r="20" spans="2:37" s="230" customFormat="1" x14ac:dyDescent="0.2">
      <c r="B20" s="238">
        <v>18</v>
      </c>
      <c r="C20" s="287" t="str">
        <f>HLOOKUP(Auswahl!$A$2,$D$3:$E$199,$B20,FALSE)</f>
        <v>Coupe de printemps avant rompue (Hors SAU)</v>
      </c>
      <c r="D20" s="138" t="s">
        <v>390</v>
      </c>
      <c r="E20" s="138" t="s">
        <v>395</v>
      </c>
      <c r="F20" s="259">
        <f>ROUND(AVERAGE(G20),-1)</f>
        <v>0</v>
      </c>
      <c r="G20" s="239">
        <f>H20</f>
        <v>0</v>
      </c>
      <c r="H20" s="244">
        <v>0</v>
      </c>
      <c r="I20" s="232"/>
      <c r="J20" s="232"/>
      <c r="K20" s="232"/>
      <c r="L20" s="260"/>
      <c r="M20" s="239">
        <f>N20</f>
        <v>0</v>
      </c>
      <c r="N20" s="244">
        <v>0</v>
      </c>
      <c r="O20" s="232"/>
      <c r="P20" s="232"/>
      <c r="Q20" s="232"/>
      <c r="R20" s="260"/>
      <c r="S20" s="239">
        <f>T20</f>
        <v>0</v>
      </c>
      <c r="T20" s="244">
        <v>0</v>
      </c>
      <c r="U20" s="232"/>
      <c r="V20" s="232"/>
      <c r="W20" s="232"/>
      <c r="X20" s="260"/>
      <c r="Y20" s="239">
        <f>Z20</f>
        <v>0</v>
      </c>
      <c r="Z20" s="244">
        <v>0</v>
      </c>
      <c r="AA20" s="232"/>
      <c r="AB20" s="232"/>
      <c r="AC20" s="232"/>
      <c r="AD20" s="260"/>
      <c r="AE20" s="239">
        <f>AF20</f>
        <v>0</v>
      </c>
      <c r="AF20" s="244">
        <v>0</v>
      </c>
      <c r="AG20" s="231"/>
      <c r="AH20" s="231"/>
      <c r="AI20" s="231"/>
      <c r="AJ20" s="238"/>
      <c r="AK20" s="54"/>
    </row>
    <row r="21" spans="2:37" s="230" customFormat="1" x14ac:dyDescent="0.2">
      <c r="B21" s="238">
        <v>19</v>
      </c>
      <c r="C21" s="287" t="str">
        <f>HLOOKUP(Auswahl!$A$2,$D$3:$E$199,$B21,FALSE)</f>
        <v>Dérobées ou semis d'août de PT (Hors SAU)</v>
      </c>
      <c r="D21" s="138" t="s">
        <v>391</v>
      </c>
      <c r="E21" s="138" t="s">
        <v>394</v>
      </c>
      <c r="F21" s="259">
        <f>ROUND(AVERAGE(G21),-1)</f>
        <v>-680</v>
      </c>
      <c r="G21" s="239">
        <f>H21</f>
        <v>-678</v>
      </c>
      <c r="H21" s="244">
        <v>-678</v>
      </c>
      <c r="I21" s="232"/>
      <c r="J21" s="232"/>
      <c r="K21" s="232"/>
      <c r="L21" s="260"/>
      <c r="M21" s="239">
        <f>N21</f>
        <v>0</v>
      </c>
      <c r="N21" s="244">
        <v>0</v>
      </c>
      <c r="O21" s="232"/>
      <c r="P21" s="232"/>
      <c r="Q21" s="232"/>
      <c r="R21" s="260"/>
      <c r="S21" s="239">
        <f>T21</f>
        <v>0</v>
      </c>
      <c r="T21" s="244">
        <v>0</v>
      </c>
      <c r="U21" s="232"/>
      <c r="V21" s="232"/>
      <c r="W21" s="232"/>
      <c r="X21" s="260"/>
      <c r="Y21" s="239">
        <f>Z21</f>
        <v>0</v>
      </c>
      <c r="Z21" s="244">
        <v>0</v>
      </c>
      <c r="AA21" s="232"/>
      <c r="AB21" s="232"/>
      <c r="AC21" s="232"/>
      <c r="AD21" s="260"/>
      <c r="AE21" s="239">
        <f>AF21</f>
        <v>0</v>
      </c>
      <c r="AF21" s="244">
        <v>0</v>
      </c>
      <c r="AG21" s="231"/>
      <c r="AH21" s="231"/>
      <c r="AI21" s="231"/>
      <c r="AJ21" s="238"/>
      <c r="AK21" s="54"/>
    </row>
    <row r="22" spans="2:37" x14ac:dyDescent="0.2">
      <c r="B22" s="238">
        <v>20</v>
      </c>
      <c r="C22" s="287" t="str">
        <f>HLOOKUP(Auswahl!$A$2,$D$3:$E$199,$B22,FALSE)</f>
        <v>Total SAU</v>
      </c>
      <c r="D22" s="138" t="s">
        <v>393</v>
      </c>
      <c r="E22" s="138" t="s">
        <v>392</v>
      </c>
      <c r="F22" s="200" t="s">
        <v>151</v>
      </c>
      <c r="G22" s="239"/>
      <c r="H22" s="243"/>
      <c r="I22" s="231"/>
      <c r="J22" s="245"/>
      <c r="K22" s="245"/>
      <c r="L22" s="238"/>
      <c r="M22" s="155"/>
      <c r="N22" s="160"/>
      <c r="O22" s="8"/>
      <c r="P22" s="162"/>
      <c r="Q22" s="162"/>
      <c r="R22" s="151"/>
      <c r="S22" s="155"/>
      <c r="T22" s="160"/>
      <c r="U22" s="8"/>
      <c r="V22" s="162"/>
      <c r="W22" s="162"/>
      <c r="X22" s="151"/>
      <c r="Y22" s="155"/>
      <c r="Z22" s="160"/>
      <c r="AA22" s="8"/>
      <c r="AB22" s="162"/>
      <c r="AC22" s="162"/>
      <c r="AD22" s="151"/>
      <c r="AE22" s="239"/>
      <c r="AF22" s="243"/>
      <c r="AG22" s="231"/>
      <c r="AH22" s="245"/>
      <c r="AI22" s="245"/>
      <c r="AJ22" s="238"/>
    </row>
    <row r="23" spans="2:37" x14ac:dyDescent="0.2">
      <c r="B23" s="238">
        <v>21</v>
      </c>
      <c r="C23" s="190" t="str">
        <f>HLOOKUP(Auswahl!$A$2,$D$3:$E$199,$B23,FALSE)</f>
        <v>Autres surfaces SAU (haies, litière,…)</v>
      </c>
      <c r="D23" s="170" t="s">
        <v>296</v>
      </c>
      <c r="E23" s="170" t="s">
        <v>297</v>
      </c>
      <c r="F23" s="259">
        <f>ROUND(AVERAGE(Y23,M23,S23,AE23),-1)</f>
        <v>0</v>
      </c>
      <c r="G23" s="251">
        <f>H23</f>
        <v>0</v>
      </c>
      <c r="H23" s="244">
        <v>0</v>
      </c>
      <c r="I23" s="231"/>
      <c r="J23" s="245"/>
      <c r="K23" s="245"/>
      <c r="L23" s="238"/>
      <c r="M23" s="171">
        <f>N23</f>
        <v>0</v>
      </c>
      <c r="N23" s="161">
        <v>0</v>
      </c>
      <c r="O23" s="8"/>
      <c r="P23" s="162"/>
      <c r="Q23" s="162"/>
      <c r="R23" s="151"/>
      <c r="S23" s="171">
        <f>T23</f>
        <v>0</v>
      </c>
      <c r="T23" s="161">
        <v>0</v>
      </c>
      <c r="U23" s="8"/>
      <c r="V23" s="162"/>
      <c r="W23" s="162"/>
      <c r="X23" s="151"/>
      <c r="Y23" s="171">
        <f>Z23</f>
        <v>0</v>
      </c>
      <c r="Z23" s="161">
        <v>0</v>
      </c>
      <c r="AA23" s="8"/>
      <c r="AB23" s="162"/>
      <c r="AC23" s="162"/>
      <c r="AD23" s="151"/>
      <c r="AE23" s="251">
        <f>AF23</f>
        <v>0</v>
      </c>
      <c r="AF23" s="244">
        <v>0</v>
      </c>
      <c r="AG23" s="231"/>
      <c r="AH23" s="245"/>
      <c r="AI23" s="245"/>
      <c r="AJ23" s="238"/>
    </row>
    <row r="24" spans="2:37" x14ac:dyDescent="0.2">
      <c r="B24" s="238">
        <v>22</v>
      </c>
      <c r="C24" s="190" t="str">
        <f>HLOOKUP(Auswahl!$A$2,$D$3:$E$199,$B24,FALSE)</f>
        <v>Animaux</v>
      </c>
      <c r="D24" s="139" t="s">
        <v>224</v>
      </c>
      <c r="E24" s="139" t="s">
        <v>108</v>
      </c>
      <c r="F24" s="200" t="s">
        <v>151</v>
      </c>
      <c r="G24" s="251"/>
      <c r="H24" s="373" t="str">
        <f>C24</f>
        <v>Animaux</v>
      </c>
      <c r="I24" s="374"/>
      <c r="J24" s="374"/>
      <c r="K24" s="374"/>
      <c r="L24" s="375"/>
      <c r="M24" s="171"/>
      <c r="N24" s="373" t="str">
        <f>C24</f>
        <v>Animaux</v>
      </c>
      <c r="O24" s="374"/>
      <c r="P24" s="374"/>
      <c r="Q24" s="374"/>
      <c r="R24" s="375"/>
      <c r="S24" s="171"/>
      <c r="T24" s="373" t="str">
        <f>C24</f>
        <v>Animaux</v>
      </c>
      <c r="U24" s="374"/>
      <c r="V24" s="374"/>
      <c r="W24" s="374"/>
      <c r="X24" s="375"/>
      <c r="Y24" s="171"/>
      <c r="Z24" s="373" t="str">
        <f>C24</f>
        <v>Animaux</v>
      </c>
      <c r="AA24" s="374"/>
      <c r="AB24" s="374"/>
      <c r="AC24" s="374"/>
      <c r="AD24" s="375"/>
      <c r="AE24" s="251"/>
      <c r="AF24" s="373" t="s">
        <v>224</v>
      </c>
      <c r="AG24" s="374"/>
      <c r="AH24" s="374"/>
      <c r="AI24" s="374"/>
      <c r="AJ24" s="375"/>
      <c r="AK24" s="12"/>
    </row>
    <row r="25" spans="2:37" x14ac:dyDescent="0.2">
      <c r="B25" s="238">
        <v>23</v>
      </c>
      <c r="C25" s="190" t="str">
        <f>HLOOKUP(Auswahl!$A$2,$D$3:$E$199,$B25,FALSE)</f>
        <v>Bétail consom. du fourrage grossier</v>
      </c>
      <c r="D25" s="139" t="s">
        <v>330</v>
      </c>
      <c r="E25" s="139" t="s">
        <v>129</v>
      </c>
      <c r="F25" s="200" t="s">
        <v>151</v>
      </c>
      <c r="G25" s="261"/>
      <c r="H25" s="373" t="str">
        <f>C25</f>
        <v>Bétail consom. du fourrage grossier</v>
      </c>
      <c r="I25" s="374"/>
      <c r="J25" s="374"/>
      <c r="K25" s="374"/>
      <c r="L25" s="375"/>
      <c r="M25" s="201"/>
      <c r="N25" s="373" t="str">
        <f>C25</f>
        <v>Bétail consom. du fourrage grossier</v>
      </c>
      <c r="O25" s="374"/>
      <c r="P25" s="374"/>
      <c r="Q25" s="374"/>
      <c r="R25" s="375"/>
      <c r="S25" s="201"/>
      <c r="T25" s="373" t="str">
        <f>C25</f>
        <v>Bétail consom. du fourrage grossier</v>
      </c>
      <c r="U25" s="374"/>
      <c r="V25" s="374"/>
      <c r="W25" s="374"/>
      <c r="X25" s="375"/>
      <c r="Y25" s="201"/>
      <c r="Z25" s="373" t="str">
        <f>C25</f>
        <v>Bétail consom. du fourrage grossier</v>
      </c>
      <c r="AA25" s="374"/>
      <c r="AB25" s="374"/>
      <c r="AC25" s="374"/>
      <c r="AD25" s="375"/>
      <c r="AE25" s="261"/>
      <c r="AF25" s="373" t="s">
        <v>330</v>
      </c>
      <c r="AG25" s="374"/>
      <c r="AH25" s="374"/>
      <c r="AI25" s="374"/>
      <c r="AJ25" s="375"/>
      <c r="AK25" s="12"/>
    </row>
    <row r="26" spans="2:37" x14ac:dyDescent="0.2">
      <c r="B26" s="238">
        <v>24</v>
      </c>
      <c r="C26" s="190" t="str">
        <f>HLOOKUP(Auswahl!$A$2,$D$3:$E$199,$B26,FALSE)</f>
        <v>Vaches laitières &lt; 7000 kg</v>
      </c>
      <c r="D26" s="138" t="s">
        <v>157</v>
      </c>
      <c r="E26" s="138" t="s">
        <v>85</v>
      </c>
      <c r="F26" s="191">
        <f>ROUND(AVERAGE(Y26,M26,S26,AE26,G26),-1)</f>
        <v>3960</v>
      </c>
      <c r="G26" s="239">
        <f t="shared" ref="G26:G35" si="1">H26</f>
        <v>3597</v>
      </c>
      <c r="H26" s="247">
        <v>3597</v>
      </c>
      <c r="I26" s="231"/>
      <c r="J26" s="235"/>
      <c r="K26" s="231"/>
      <c r="L26" s="238"/>
      <c r="M26" s="155">
        <f t="shared" ref="M26:M35" si="2">N26</f>
        <v>4115</v>
      </c>
      <c r="N26" s="166">
        <v>4115</v>
      </c>
      <c r="O26" s="8"/>
      <c r="P26" s="26"/>
      <c r="Q26" s="8"/>
      <c r="R26" s="151"/>
      <c r="S26" s="155">
        <f t="shared" ref="S26:S35" si="3">T26</f>
        <v>4090</v>
      </c>
      <c r="T26" s="166">
        <v>4090</v>
      </c>
      <c r="U26" s="8"/>
      <c r="V26" s="26"/>
      <c r="W26" s="8"/>
      <c r="X26" s="151"/>
      <c r="Y26" s="155">
        <f t="shared" ref="Y26:Y35" si="4">Z26</f>
        <v>4073</v>
      </c>
      <c r="Z26" s="166">
        <v>4073</v>
      </c>
      <c r="AA26" s="8"/>
      <c r="AB26" s="26"/>
      <c r="AC26" s="8"/>
      <c r="AD26" s="151"/>
      <c r="AE26" s="239">
        <f t="shared" ref="AE26:AE35" si="5">AF26</f>
        <v>3943</v>
      </c>
      <c r="AF26" s="247">
        <v>3943</v>
      </c>
      <c r="AG26" s="231"/>
      <c r="AH26" s="235"/>
      <c r="AI26" s="231"/>
      <c r="AJ26" s="238"/>
      <c r="AK26" s="26" t="s">
        <v>32</v>
      </c>
    </row>
    <row r="27" spans="2:37" x14ac:dyDescent="0.2">
      <c r="B27" s="238">
        <v>25</v>
      </c>
      <c r="C27" s="190" t="str">
        <f>HLOOKUP(Auswahl!$A$2,$D$3:$E$199,$B27,FALSE)</f>
        <v>Vaches laitières ≥ 7000 kg</v>
      </c>
      <c r="D27" s="141" t="s">
        <v>219</v>
      </c>
      <c r="E27" s="138" t="s">
        <v>152</v>
      </c>
      <c r="F27" s="259">
        <f t="shared" ref="F27:F52" si="6">ROUND(AVERAGE(Y27,M27,S27,AE27,G27),-1)</f>
        <v>4860</v>
      </c>
      <c r="G27" s="239">
        <f t="shared" si="1"/>
        <v>4449</v>
      </c>
      <c r="H27" s="247">
        <v>4449</v>
      </c>
      <c r="I27" s="231"/>
      <c r="J27" s="235"/>
      <c r="K27" s="231"/>
      <c r="L27" s="238"/>
      <c r="M27" s="155">
        <f t="shared" si="2"/>
        <v>5134</v>
      </c>
      <c r="N27" s="166">
        <v>5134</v>
      </c>
      <c r="O27" s="8"/>
      <c r="P27" s="26"/>
      <c r="Q27" s="8"/>
      <c r="R27" s="151"/>
      <c r="S27" s="155">
        <f t="shared" si="3"/>
        <v>4967</v>
      </c>
      <c r="T27" s="166">
        <v>4967</v>
      </c>
      <c r="U27" s="8"/>
      <c r="V27" s="26"/>
      <c r="W27" s="8"/>
      <c r="X27" s="151"/>
      <c r="Y27" s="155">
        <f t="shared" si="4"/>
        <v>4927</v>
      </c>
      <c r="Z27" s="166">
        <v>4927</v>
      </c>
      <c r="AA27" s="8"/>
      <c r="AB27" s="26"/>
      <c r="AC27" s="8"/>
      <c r="AD27" s="151"/>
      <c r="AE27" s="239">
        <f t="shared" si="5"/>
        <v>4819</v>
      </c>
      <c r="AF27" s="247">
        <v>4819</v>
      </c>
      <c r="AG27" s="231"/>
      <c r="AH27" s="235"/>
      <c r="AI27" s="231"/>
      <c r="AJ27" s="238"/>
      <c r="AK27" s="26" t="s">
        <v>33</v>
      </c>
    </row>
    <row r="28" spans="2:37" x14ac:dyDescent="0.2">
      <c r="B28" s="238">
        <v>26</v>
      </c>
      <c r="C28" s="190" t="str">
        <f>HLOOKUP(Auswahl!$A$2,$D$3:$E$199,$B28,FALSE)</f>
        <v>Vaches allaitantes y c. veau</v>
      </c>
      <c r="D28" s="138" t="s">
        <v>158</v>
      </c>
      <c r="E28" s="138" t="s">
        <v>237</v>
      </c>
      <c r="F28" s="259">
        <f t="shared" si="6"/>
        <v>2100</v>
      </c>
      <c r="G28" s="239">
        <f t="shared" si="1"/>
        <v>2033</v>
      </c>
      <c r="H28" s="247">
        <v>2033</v>
      </c>
      <c r="I28" s="231"/>
      <c r="J28" s="231"/>
      <c r="K28" s="231"/>
      <c r="L28" s="238"/>
      <c r="M28" s="155">
        <f t="shared" si="2"/>
        <v>2338</v>
      </c>
      <c r="N28" s="166">
        <v>2338</v>
      </c>
      <c r="O28" s="8"/>
      <c r="P28" s="8"/>
      <c r="Q28" s="8"/>
      <c r="R28" s="151"/>
      <c r="S28" s="155">
        <f t="shared" si="3"/>
        <v>2071</v>
      </c>
      <c r="T28" s="166">
        <v>2071</v>
      </c>
      <c r="U28" s="8"/>
      <c r="V28" s="8"/>
      <c r="W28" s="8"/>
      <c r="X28" s="151"/>
      <c r="Y28" s="155">
        <f t="shared" si="4"/>
        <v>2054</v>
      </c>
      <c r="Z28" s="166">
        <v>2054</v>
      </c>
      <c r="AA28" s="8"/>
      <c r="AB28" s="8"/>
      <c r="AC28" s="8"/>
      <c r="AD28" s="151"/>
      <c r="AE28" s="239">
        <f t="shared" si="5"/>
        <v>1992</v>
      </c>
      <c r="AF28" s="247">
        <v>1992</v>
      </c>
      <c r="AG28" s="231"/>
      <c r="AH28" s="231"/>
      <c r="AI28" s="231"/>
      <c r="AJ28" s="238"/>
      <c r="AK28" s="26" t="s">
        <v>34</v>
      </c>
    </row>
    <row r="29" spans="2:37" x14ac:dyDescent="0.2">
      <c r="B29" s="238">
        <v>27</v>
      </c>
      <c r="C29" s="190" t="str">
        <f>HLOOKUP(Auswahl!$A$2,$D$3:$E$199,$B29,FALSE)</f>
        <v>Bovins d'élevage &gt; 2 ans</v>
      </c>
      <c r="D29" s="138" t="s">
        <v>348</v>
      </c>
      <c r="E29" s="138" t="s">
        <v>344</v>
      </c>
      <c r="F29" s="259">
        <f t="shared" si="6"/>
        <v>1010</v>
      </c>
      <c r="G29" s="239">
        <f t="shared" si="1"/>
        <v>1140</v>
      </c>
      <c r="H29" s="247">
        <v>1140</v>
      </c>
      <c r="I29" s="231"/>
      <c r="J29" s="231"/>
      <c r="K29" s="231"/>
      <c r="L29" s="238"/>
      <c r="M29" s="155">
        <f t="shared" si="2"/>
        <v>2356</v>
      </c>
      <c r="N29" s="166">
        <v>2356</v>
      </c>
      <c r="O29" s="8"/>
      <c r="P29" s="8"/>
      <c r="Q29" s="8"/>
      <c r="R29" s="151"/>
      <c r="S29" s="155">
        <f t="shared" si="3"/>
        <v>641</v>
      </c>
      <c r="T29" s="166">
        <v>641</v>
      </c>
      <c r="U29" s="8"/>
      <c r="V29" s="8"/>
      <c r="W29" s="8"/>
      <c r="X29" s="151"/>
      <c r="Y29" s="155">
        <f t="shared" si="4"/>
        <v>641</v>
      </c>
      <c r="Z29" s="166">
        <v>641</v>
      </c>
      <c r="AA29" s="8"/>
      <c r="AB29" s="8"/>
      <c r="AC29" s="8"/>
      <c r="AD29" s="151"/>
      <c r="AE29" s="239">
        <f t="shared" si="5"/>
        <v>270</v>
      </c>
      <c r="AF29" s="247">
        <v>270</v>
      </c>
      <c r="AG29" s="231"/>
      <c r="AH29" s="231"/>
      <c r="AI29" s="231"/>
      <c r="AJ29" s="238"/>
      <c r="AK29" s="26" t="s">
        <v>36</v>
      </c>
    </row>
    <row r="30" spans="2:37" x14ac:dyDescent="0.2">
      <c r="B30" s="238">
        <v>28</v>
      </c>
      <c r="C30" s="190" t="str">
        <f>HLOOKUP(Auswahl!$A$2,$D$3:$E$199,$B30,FALSE)</f>
        <v>Bovins d'élevage 1-2 ans</v>
      </c>
      <c r="D30" s="138" t="s">
        <v>349</v>
      </c>
      <c r="E30" s="138" t="s">
        <v>79</v>
      </c>
      <c r="F30" s="259">
        <f t="shared" si="6"/>
        <v>0</v>
      </c>
      <c r="G30" s="239">
        <f t="shared" si="1"/>
        <v>0</v>
      </c>
      <c r="H30" s="247">
        <v>0</v>
      </c>
      <c r="I30" s="231"/>
      <c r="J30" s="231"/>
      <c r="K30" s="231"/>
      <c r="L30" s="238"/>
      <c r="M30" s="155">
        <f t="shared" si="2"/>
        <v>0</v>
      </c>
      <c r="N30" s="166">
        <v>0</v>
      </c>
      <c r="O30" s="8"/>
      <c r="P30" s="8"/>
      <c r="Q30" s="8"/>
      <c r="R30" s="151"/>
      <c r="S30" s="155">
        <f t="shared" si="3"/>
        <v>0</v>
      </c>
      <c r="T30" s="166">
        <v>0</v>
      </c>
      <c r="U30" s="8"/>
      <c r="V30" s="8"/>
      <c r="W30" s="8"/>
      <c r="X30" s="151"/>
      <c r="Y30" s="155">
        <f t="shared" si="4"/>
        <v>0</v>
      </c>
      <c r="Z30" s="166">
        <v>0</v>
      </c>
      <c r="AA30" s="8"/>
      <c r="AB30" s="8"/>
      <c r="AC30" s="8"/>
      <c r="AD30" s="151"/>
      <c r="AE30" s="239">
        <f t="shared" si="5"/>
        <v>0</v>
      </c>
      <c r="AF30" s="247">
        <v>0</v>
      </c>
      <c r="AG30" s="231"/>
      <c r="AH30" s="231"/>
      <c r="AI30" s="231"/>
      <c r="AJ30" s="238"/>
    </row>
    <row r="31" spans="2:37" x14ac:dyDescent="0.2">
      <c r="B31" s="238">
        <v>29</v>
      </c>
      <c r="C31" s="190" t="str">
        <f>HLOOKUP(Auswahl!$A$2,$D$3:$E$199,$B31,FALSE)</f>
        <v>Veaux 160 jours - 1 an</v>
      </c>
      <c r="D31" s="138" t="s">
        <v>159</v>
      </c>
      <c r="E31" s="138" t="s">
        <v>86</v>
      </c>
      <c r="F31" s="259">
        <f t="shared" si="6"/>
        <v>0</v>
      </c>
      <c r="G31" s="239">
        <f t="shared" si="1"/>
        <v>0</v>
      </c>
      <c r="H31" s="247">
        <v>0</v>
      </c>
      <c r="I31" s="231"/>
      <c r="J31" s="231"/>
      <c r="K31" s="231"/>
      <c r="L31" s="238"/>
      <c r="M31" s="155">
        <f t="shared" si="2"/>
        <v>0</v>
      </c>
      <c r="N31" s="166">
        <v>0</v>
      </c>
      <c r="O31" s="8"/>
      <c r="P31" s="8"/>
      <c r="Q31" s="8"/>
      <c r="R31" s="151"/>
      <c r="S31" s="155">
        <f t="shared" si="3"/>
        <v>0</v>
      </c>
      <c r="T31" s="166">
        <v>0</v>
      </c>
      <c r="U31" s="8"/>
      <c r="V31" s="8"/>
      <c r="W31" s="8"/>
      <c r="X31" s="151"/>
      <c r="Y31" s="155">
        <f t="shared" si="4"/>
        <v>0</v>
      </c>
      <c r="Z31" s="166">
        <v>0</v>
      </c>
      <c r="AA31" s="8"/>
      <c r="AB31" s="8"/>
      <c r="AC31" s="8"/>
      <c r="AD31" s="151"/>
      <c r="AE31" s="239">
        <f t="shared" si="5"/>
        <v>0</v>
      </c>
      <c r="AF31" s="247">
        <v>0</v>
      </c>
      <c r="AG31" s="231"/>
      <c r="AH31" s="231"/>
      <c r="AI31" s="231"/>
      <c r="AJ31" s="238"/>
    </row>
    <row r="32" spans="2:37" x14ac:dyDescent="0.2">
      <c r="B32" s="238">
        <v>30</v>
      </c>
      <c r="C32" s="190" t="str">
        <f>HLOOKUP(Auswahl!$A$2,$D$3:$E$199,$B32,FALSE)</f>
        <v>Veaux &lt; 160 jours</v>
      </c>
      <c r="D32" s="138" t="s">
        <v>160</v>
      </c>
      <c r="E32" s="138" t="s">
        <v>87</v>
      </c>
      <c r="F32" s="259">
        <f t="shared" si="6"/>
        <v>0</v>
      </c>
      <c r="G32" s="239">
        <f t="shared" si="1"/>
        <v>0</v>
      </c>
      <c r="H32" s="247">
        <v>0</v>
      </c>
      <c r="I32" s="231"/>
      <c r="J32" s="231"/>
      <c r="K32" s="231"/>
      <c r="L32" s="238"/>
      <c r="M32" s="155">
        <f t="shared" si="2"/>
        <v>0</v>
      </c>
      <c r="N32" s="166">
        <v>0</v>
      </c>
      <c r="O32" s="8"/>
      <c r="P32" s="8"/>
      <c r="Q32" s="8"/>
      <c r="R32" s="151"/>
      <c r="S32" s="155">
        <f t="shared" si="3"/>
        <v>0</v>
      </c>
      <c r="T32" s="166">
        <v>0</v>
      </c>
      <c r="U32" s="8"/>
      <c r="V32" s="8"/>
      <c r="W32" s="8"/>
      <c r="X32" s="151"/>
      <c r="Y32" s="155">
        <f t="shared" si="4"/>
        <v>0</v>
      </c>
      <c r="Z32" s="166">
        <v>0</v>
      </c>
      <c r="AA32" s="8"/>
      <c r="AB32" s="8"/>
      <c r="AC32" s="8"/>
      <c r="AD32" s="151"/>
      <c r="AE32" s="239">
        <f t="shared" si="5"/>
        <v>0</v>
      </c>
      <c r="AF32" s="247">
        <v>0</v>
      </c>
      <c r="AG32" s="231"/>
      <c r="AH32" s="231"/>
      <c r="AI32" s="231"/>
      <c r="AJ32" s="238"/>
    </row>
    <row r="33" spans="1:37" s="73" customFormat="1" x14ac:dyDescent="0.2">
      <c r="A33" s="230"/>
      <c r="B33" s="238">
        <v>31</v>
      </c>
      <c r="C33" s="190" t="str">
        <f>HLOOKUP(Auswahl!$A$2,$D$3:$E$199,$B33,FALSE)</f>
        <v>Génisses en pension (durée 24 mois)</v>
      </c>
      <c r="D33" s="196" t="s">
        <v>309</v>
      </c>
      <c r="E33" s="138" t="s">
        <v>315</v>
      </c>
      <c r="F33" s="259">
        <f t="shared" si="6"/>
        <v>990</v>
      </c>
      <c r="G33" s="240">
        <f t="shared" si="1"/>
        <v>974.18181818181824</v>
      </c>
      <c r="H33" s="210">
        <f>1786/22*12</f>
        <v>974.18181818181824</v>
      </c>
      <c r="I33" s="231"/>
      <c r="J33" s="231"/>
      <c r="K33" s="231"/>
      <c r="L33" s="238"/>
      <c r="M33" s="157">
        <f t="shared" si="2"/>
        <v>1078.3636363636363</v>
      </c>
      <c r="N33" s="210">
        <f>1977/22*12</f>
        <v>1078.3636363636363</v>
      </c>
      <c r="O33" s="8"/>
      <c r="P33" s="8"/>
      <c r="Q33" s="8"/>
      <c r="R33" s="151"/>
      <c r="S33" s="157">
        <f t="shared" si="3"/>
        <v>984</v>
      </c>
      <c r="T33" s="210">
        <f>1804/22*12</f>
        <v>984</v>
      </c>
      <c r="U33" s="8"/>
      <c r="V33" s="8"/>
      <c r="W33" s="8"/>
      <c r="X33" s="151"/>
      <c r="Y33" s="157">
        <f t="shared" si="4"/>
        <v>1018.3636363636363</v>
      </c>
      <c r="Z33" s="202">
        <f>1867/22*12</f>
        <v>1018.3636363636363</v>
      </c>
      <c r="AA33" s="8"/>
      <c r="AB33" s="8"/>
      <c r="AC33" s="8"/>
      <c r="AD33" s="151"/>
      <c r="AE33" s="240">
        <f t="shared" si="5"/>
        <v>897.27272727272748</v>
      </c>
      <c r="AF33" s="262">
        <f>74.7727272727273*12</f>
        <v>897.27272727272748</v>
      </c>
      <c r="AG33" s="231"/>
      <c r="AH33" s="231"/>
      <c r="AI33" s="231"/>
      <c r="AJ33" s="238"/>
      <c r="AK33" s="33" t="s">
        <v>331</v>
      </c>
    </row>
    <row r="34" spans="1:37" x14ac:dyDescent="0.2">
      <c r="B34" s="238">
        <v>32</v>
      </c>
      <c r="C34" s="190" t="str">
        <f>HLOOKUP(Auswahl!$A$2,$D$3:$E$199,$B34,FALSE)</f>
        <v>Bovins d'engraissement &gt;160 jours</v>
      </c>
      <c r="D34" s="138" t="s">
        <v>161</v>
      </c>
      <c r="E34" s="138" t="s">
        <v>80</v>
      </c>
      <c r="F34" s="259">
        <f t="shared" si="6"/>
        <v>1070</v>
      </c>
      <c r="G34" s="239">
        <f t="shared" si="1"/>
        <v>1107</v>
      </c>
      <c r="H34" s="247">
        <v>1107</v>
      </c>
      <c r="I34" s="231"/>
      <c r="J34" s="231"/>
      <c r="K34" s="231"/>
      <c r="L34" s="238"/>
      <c r="M34" s="155">
        <f t="shared" si="2"/>
        <v>1042</v>
      </c>
      <c r="N34" s="166">
        <v>1042</v>
      </c>
      <c r="O34" s="8"/>
      <c r="P34" s="8"/>
      <c r="Q34" s="290"/>
      <c r="R34" s="151"/>
      <c r="S34" s="155">
        <f t="shared" si="3"/>
        <v>1156</v>
      </c>
      <c r="T34" s="166">
        <v>1156</v>
      </c>
      <c r="U34" s="8"/>
      <c r="V34" s="8"/>
      <c r="W34" s="8"/>
      <c r="X34" s="151"/>
      <c r="Y34" s="155">
        <f t="shared" si="4"/>
        <v>846</v>
      </c>
      <c r="Z34" s="166">
        <v>846</v>
      </c>
      <c r="AA34" s="8"/>
      <c r="AB34" s="8"/>
      <c r="AC34" s="8"/>
      <c r="AD34" s="151"/>
      <c r="AE34" s="239">
        <f t="shared" si="5"/>
        <v>1209</v>
      </c>
      <c r="AF34" s="247">
        <v>1209</v>
      </c>
      <c r="AG34" s="231"/>
      <c r="AH34" s="231"/>
      <c r="AI34" s="231"/>
      <c r="AJ34" s="238"/>
      <c r="AK34" s="26" t="s">
        <v>37</v>
      </c>
    </row>
    <row r="35" spans="1:37" x14ac:dyDescent="0.2">
      <c r="B35" s="238">
        <v>33</v>
      </c>
      <c r="C35" s="190" t="str">
        <f>HLOOKUP(Auswahl!$A$2,$D$3:$E$199,$B35,FALSE)</f>
        <v>Veaux à l'engrais (lait entier)</v>
      </c>
      <c r="D35" s="138" t="s">
        <v>162</v>
      </c>
      <c r="E35" s="138" t="s">
        <v>300</v>
      </c>
      <c r="F35" s="259">
        <f t="shared" si="6"/>
        <v>140</v>
      </c>
      <c r="G35" s="239">
        <f t="shared" si="1"/>
        <v>991</v>
      </c>
      <c r="H35" s="247">
        <v>991</v>
      </c>
      <c r="I35" s="231"/>
      <c r="J35" s="231"/>
      <c r="K35" s="231"/>
      <c r="L35" s="238"/>
      <c r="M35" s="155">
        <f t="shared" si="2"/>
        <v>-287</v>
      </c>
      <c r="N35" s="166">
        <v>-287</v>
      </c>
      <c r="O35" s="8"/>
      <c r="P35" s="8"/>
      <c r="Q35" s="8"/>
      <c r="R35" s="151"/>
      <c r="S35" s="155">
        <f t="shared" si="3"/>
        <v>-324</v>
      </c>
      <c r="T35" s="166">
        <v>-324</v>
      </c>
      <c r="U35" s="8"/>
      <c r="V35" s="8"/>
      <c r="W35" s="8"/>
      <c r="X35" s="151"/>
      <c r="Y35" s="155">
        <f t="shared" si="4"/>
        <v>-295</v>
      </c>
      <c r="Z35" s="166">
        <v>-295</v>
      </c>
      <c r="AA35" s="8"/>
      <c r="AB35" s="8"/>
      <c r="AC35" s="8"/>
      <c r="AD35" s="151"/>
      <c r="AE35" s="239">
        <f t="shared" si="5"/>
        <v>621</v>
      </c>
      <c r="AF35" s="247">
        <v>621</v>
      </c>
      <c r="AG35" s="231"/>
      <c r="AH35" s="231"/>
      <c r="AI35" s="231"/>
      <c r="AJ35" s="238"/>
      <c r="AK35" s="26" t="s">
        <v>41</v>
      </c>
    </row>
    <row r="36" spans="1:37" x14ac:dyDescent="0.2">
      <c r="B36" s="238">
        <v>34</v>
      </c>
      <c r="C36" s="190" t="str">
        <f>HLOOKUP(Auswahl!$A$2,$D$3:$E$199,$B36,FALSE)</f>
        <v>Chevaux &gt; 3 ans (toute utilisation)</v>
      </c>
      <c r="D36" s="138" t="s">
        <v>163</v>
      </c>
      <c r="E36" s="138" t="s">
        <v>81</v>
      </c>
      <c r="F36" s="259">
        <f t="shared" si="6"/>
        <v>2450</v>
      </c>
      <c r="G36" s="239">
        <f>0.5*H36+0.5*I36</f>
        <v>2499</v>
      </c>
      <c r="H36" s="244">
        <v>-1742</v>
      </c>
      <c r="I36" s="237">
        <v>6740</v>
      </c>
      <c r="J36" s="231"/>
      <c r="K36" s="231"/>
      <c r="L36" s="238"/>
      <c r="M36" s="155">
        <f>0.5*N36+0.5*O36</f>
        <v>2355</v>
      </c>
      <c r="N36" s="161">
        <v>-2356</v>
      </c>
      <c r="O36" s="31">
        <v>7066</v>
      </c>
      <c r="P36" s="8"/>
      <c r="Q36" s="8"/>
      <c r="R36" s="151"/>
      <c r="S36" s="155">
        <f>0.5*T36+0.5*U36</f>
        <v>2483.5</v>
      </c>
      <c r="T36" s="161">
        <v>-2156</v>
      </c>
      <c r="U36" s="31">
        <v>7123</v>
      </c>
      <c r="V36" s="8"/>
      <c r="W36" s="8"/>
      <c r="X36" s="151"/>
      <c r="Y36" s="155">
        <f>0.5*Z36+0.5*AA36</f>
        <v>2385.5</v>
      </c>
      <c r="Z36" s="161">
        <v>-2273</v>
      </c>
      <c r="AA36" s="31">
        <v>7044</v>
      </c>
      <c r="AB36" s="8"/>
      <c r="AC36" s="8"/>
      <c r="AD36" s="151"/>
      <c r="AE36" s="239">
        <f>0.5*AF36+0.5*AG36</f>
        <v>2520.5</v>
      </c>
      <c r="AF36" s="244">
        <v>-1683</v>
      </c>
      <c r="AG36" s="237">
        <v>6724</v>
      </c>
      <c r="AH36" s="231"/>
      <c r="AI36" s="231"/>
      <c r="AJ36" s="238"/>
      <c r="AK36" s="26" t="s">
        <v>52</v>
      </c>
    </row>
    <row r="37" spans="1:37" x14ac:dyDescent="0.2">
      <c r="B37" s="238">
        <v>35</v>
      </c>
      <c r="C37" s="190" t="str">
        <f>HLOOKUP(Auswahl!$A$2,$D$3:$E$199,$B37,FALSE)</f>
        <v>Chevaux 1-3 ans (toute utilisation)</v>
      </c>
      <c r="D37" s="138" t="s">
        <v>164</v>
      </c>
      <c r="E37" s="138" t="s">
        <v>82</v>
      </c>
      <c r="F37" s="259">
        <f t="shared" si="6"/>
        <v>0</v>
      </c>
      <c r="G37" s="239">
        <f t="shared" ref="G37:G52" si="7">H37</f>
        <v>0</v>
      </c>
      <c r="H37" s="263"/>
      <c r="I37" s="231"/>
      <c r="J37" s="231"/>
      <c r="K37" s="231"/>
      <c r="L37" s="238"/>
      <c r="M37" s="155">
        <f t="shared" ref="M37:M52" si="8">N37</f>
        <v>0</v>
      </c>
      <c r="N37" s="207"/>
      <c r="O37" s="8"/>
      <c r="P37" s="8"/>
      <c r="Q37" s="8"/>
      <c r="R37" s="151"/>
      <c r="S37" s="155">
        <f t="shared" ref="S37:S52" si="9">T37</f>
        <v>0</v>
      </c>
      <c r="T37" s="207"/>
      <c r="U37" s="8"/>
      <c r="V37" s="8"/>
      <c r="W37" s="8"/>
      <c r="X37" s="151"/>
      <c r="Y37" s="155">
        <f t="shared" ref="Y37:Y52" si="10">Z37</f>
        <v>0</v>
      </c>
      <c r="Z37" s="207"/>
      <c r="AA37" s="8"/>
      <c r="AB37" s="8"/>
      <c r="AC37" s="8"/>
      <c r="AD37" s="151"/>
      <c r="AE37" s="239">
        <f t="shared" ref="AE37:AE52" si="11">AF37</f>
        <v>0</v>
      </c>
      <c r="AF37" s="263"/>
      <c r="AG37" s="231"/>
      <c r="AH37" s="231"/>
      <c r="AI37" s="231"/>
      <c r="AJ37" s="238"/>
    </row>
    <row r="38" spans="1:37" x14ac:dyDescent="0.2">
      <c r="B38" s="238">
        <v>36</v>
      </c>
      <c r="C38" s="190" t="str">
        <f>HLOOKUP(Auswahl!$A$2,$D$3:$E$199,$B38,FALSE)</f>
        <v>Poulains</v>
      </c>
      <c r="D38" s="138" t="s">
        <v>166</v>
      </c>
      <c r="E38" s="138" t="s">
        <v>83</v>
      </c>
      <c r="F38" s="259">
        <f t="shared" si="6"/>
        <v>0</v>
      </c>
      <c r="G38" s="239">
        <f t="shared" si="7"/>
        <v>0</v>
      </c>
      <c r="H38" s="263"/>
      <c r="I38" s="231"/>
      <c r="J38" s="231"/>
      <c r="K38" s="231"/>
      <c r="L38" s="238"/>
      <c r="M38" s="155">
        <f t="shared" si="8"/>
        <v>0</v>
      </c>
      <c r="N38" s="207"/>
      <c r="O38" s="8"/>
      <c r="P38" s="8"/>
      <c r="Q38" s="8"/>
      <c r="R38" s="151"/>
      <c r="S38" s="155">
        <f t="shared" si="9"/>
        <v>0</v>
      </c>
      <c r="T38" s="207"/>
      <c r="U38" s="8"/>
      <c r="V38" s="8"/>
      <c r="W38" s="8"/>
      <c r="X38" s="151"/>
      <c r="Y38" s="155">
        <f t="shared" si="10"/>
        <v>0</v>
      </c>
      <c r="Z38" s="207"/>
      <c r="AA38" s="8"/>
      <c r="AB38" s="8"/>
      <c r="AC38" s="8"/>
      <c r="AD38" s="151"/>
      <c r="AE38" s="239">
        <f t="shared" si="11"/>
        <v>0</v>
      </c>
      <c r="AF38" s="263"/>
      <c r="AG38" s="231"/>
      <c r="AH38" s="231"/>
      <c r="AI38" s="231"/>
      <c r="AJ38" s="238"/>
    </row>
    <row r="39" spans="1:37" x14ac:dyDescent="0.2">
      <c r="B39" s="238">
        <v>37</v>
      </c>
      <c r="C39" s="190" t="str">
        <f>HLOOKUP(Auswahl!$A$2,$D$3:$E$199,$B39,FALSE)</f>
        <v>Brebis traites</v>
      </c>
      <c r="D39" s="138" t="s">
        <v>165</v>
      </c>
      <c r="E39" s="138" t="s">
        <v>301</v>
      </c>
      <c r="F39" s="259">
        <f t="shared" si="6"/>
        <v>920</v>
      </c>
      <c r="G39" s="239">
        <f t="shared" si="7"/>
        <v>906</v>
      </c>
      <c r="H39" s="247">
        <v>906</v>
      </c>
      <c r="I39" s="231"/>
      <c r="J39" s="231"/>
      <c r="K39" s="231"/>
      <c r="L39" s="238"/>
      <c r="M39" s="155">
        <f t="shared" si="8"/>
        <v>985</v>
      </c>
      <c r="N39" s="166">
        <v>985</v>
      </c>
      <c r="O39" s="8"/>
      <c r="P39" s="8"/>
      <c r="Q39" s="8"/>
      <c r="R39" s="151"/>
      <c r="S39" s="155">
        <f t="shared" si="9"/>
        <v>901</v>
      </c>
      <c r="T39" s="166">
        <v>901</v>
      </c>
      <c r="U39" s="8"/>
      <c r="V39" s="8"/>
      <c r="W39" s="8"/>
      <c r="X39" s="151"/>
      <c r="Y39" s="155">
        <f t="shared" si="10"/>
        <v>903</v>
      </c>
      <c r="Z39" s="166">
        <v>903</v>
      </c>
      <c r="AA39" s="8"/>
      <c r="AB39" s="8"/>
      <c r="AC39" s="8"/>
      <c r="AD39" s="151"/>
      <c r="AE39" s="239">
        <f t="shared" si="11"/>
        <v>917</v>
      </c>
      <c r="AF39" s="247">
        <v>917</v>
      </c>
      <c r="AG39" s="231"/>
      <c r="AH39" s="231"/>
      <c r="AI39" s="231"/>
      <c r="AJ39" s="238"/>
      <c r="AK39" s="26" t="s">
        <v>38</v>
      </c>
    </row>
    <row r="40" spans="1:37" x14ac:dyDescent="0.2">
      <c r="B40" s="238">
        <v>38</v>
      </c>
      <c r="C40" s="190" t="str">
        <f>HLOOKUP(Auswahl!$A$2,$D$3:$E$199,$B40,FALSE)</f>
        <v>Autres moutons &gt;1 an / bélier</v>
      </c>
      <c r="D40" s="138" t="s">
        <v>167</v>
      </c>
      <c r="E40" s="138" t="s">
        <v>84</v>
      </c>
      <c r="F40" s="259">
        <f t="shared" si="6"/>
        <v>270</v>
      </c>
      <c r="G40" s="239">
        <f t="shared" si="7"/>
        <v>257</v>
      </c>
      <c r="H40" s="247">
        <v>257</v>
      </c>
      <c r="I40" s="231"/>
      <c r="J40" s="231"/>
      <c r="K40" s="231"/>
      <c r="L40" s="238"/>
      <c r="M40" s="155">
        <f t="shared" si="8"/>
        <v>319</v>
      </c>
      <c r="N40" s="166">
        <v>319</v>
      </c>
      <c r="O40" s="8"/>
      <c r="P40" s="8"/>
      <c r="Q40" s="8"/>
      <c r="R40" s="151"/>
      <c r="S40" s="155">
        <f t="shared" si="9"/>
        <v>244</v>
      </c>
      <c r="T40" s="166">
        <v>244</v>
      </c>
      <c r="U40" s="8"/>
      <c r="V40" s="8"/>
      <c r="W40" s="8"/>
      <c r="X40" s="151"/>
      <c r="Y40" s="155">
        <f t="shared" si="10"/>
        <v>246</v>
      </c>
      <c r="Z40" s="166">
        <v>246</v>
      </c>
      <c r="AA40" s="8"/>
      <c r="AB40" s="8"/>
      <c r="AC40" s="8"/>
      <c r="AD40" s="151"/>
      <c r="AE40" s="239">
        <f t="shared" si="11"/>
        <v>263</v>
      </c>
      <c r="AF40" s="247">
        <v>263</v>
      </c>
      <c r="AG40" s="231"/>
      <c r="AH40" s="231"/>
      <c r="AI40" s="231"/>
      <c r="AJ40" s="238"/>
      <c r="AK40" s="26" t="s">
        <v>39</v>
      </c>
    </row>
    <row r="41" spans="1:37" x14ac:dyDescent="0.2">
      <c r="B41" s="238">
        <v>39</v>
      </c>
      <c r="C41" s="190" t="str">
        <f>HLOOKUP(Auswahl!$A$2,$D$3:$E$199,$B41,FALSE)</f>
        <v>Agneaux &lt; 1 an</v>
      </c>
      <c r="D41" s="138" t="s">
        <v>168</v>
      </c>
      <c r="E41" s="138" t="s">
        <v>189</v>
      </c>
      <c r="F41" s="259">
        <f t="shared" si="6"/>
        <v>0</v>
      </c>
      <c r="G41" s="239">
        <f t="shared" si="7"/>
        <v>0</v>
      </c>
      <c r="H41" s="263"/>
      <c r="I41" s="231"/>
      <c r="J41" s="231"/>
      <c r="K41" s="231"/>
      <c r="L41" s="238"/>
      <c r="M41" s="155">
        <f t="shared" si="8"/>
        <v>0</v>
      </c>
      <c r="N41" s="207"/>
      <c r="O41" s="8"/>
      <c r="P41" s="8"/>
      <c r="Q41" s="8"/>
      <c r="R41" s="151"/>
      <c r="S41" s="155">
        <f t="shared" si="9"/>
        <v>0</v>
      </c>
      <c r="T41" s="207"/>
      <c r="U41" s="8"/>
      <c r="V41" s="8"/>
      <c r="W41" s="8"/>
      <c r="X41" s="151"/>
      <c r="Y41" s="155">
        <f t="shared" si="10"/>
        <v>0</v>
      </c>
      <c r="Z41" s="207"/>
      <c r="AA41" s="8"/>
      <c r="AB41" s="8"/>
      <c r="AC41" s="8"/>
      <c r="AD41" s="151"/>
      <c r="AE41" s="239">
        <f t="shared" si="11"/>
        <v>0</v>
      </c>
      <c r="AF41" s="263"/>
      <c r="AG41" s="231"/>
      <c r="AH41" s="231"/>
      <c r="AI41" s="231"/>
      <c r="AJ41" s="238"/>
      <c r="AK41" s="26"/>
    </row>
    <row r="42" spans="1:37" x14ac:dyDescent="0.2">
      <c r="B42" s="238">
        <v>40</v>
      </c>
      <c r="C42" s="190" t="str">
        <f>HLOOKUP(Auswahl!$A$2,$D$3:$E$199,$B42,FALSE)</f>
        <v xml:space="preserve">Chèvres traites </v>
      </c>
      <c r="D42" s="138" t="s">
        <v>169</v>
      </c>
      <c r="E42" s="138" t="s">
        <v>190</v>
      </c>
      <c r="F42" s="259">
        <f t="shared" si="6"/>
        <v>940</v>
      </c>
      <c r="G42" s="239">
        <f t="shared" si="7"/>
        <v>922</v>
      </c>
      <c r="H42" s="247">
        <v>922</v>
      </c>
      <c r="I42" s="231"/>
      <c r="J42" s="231"/>
      <c r="K42" s="231"/>
      <c r="L42" s="238"/>
      <c r="M42" s="155">
        <f t="shared" si="8"/>
        <v>895</v>
      </c>
      <c r="N42" s="166">
        <v>895</v>
      </c>
      <c r="O42" s="8"/>
      <c r="P42" s="8"/>
      <c r="Q42" s="8"/>
      <c r="R42" s="151"/>
      <c r="S42" s="155">
        <f t="shared" si="9"/>
        <v>943</v>
      </c>
      <c r="T42" s="166">
        <v>943</v>
      </c>
      <c r="U42" s="8"/>
      <c r="V42" s="8"/>
      <c r="W42" s="8"/>
      <c r="X42" s="151"/>
      <c r="Y42" s="155">
        <f t="shared" si="10"/>
        <v>954</v>
      </c>
      <c r="Z42" s="166">
        <v>954</v>
      </c>
      <c r="AA42" s="8"/>
      <c r="AB42" s="8"/>
      <c r="AC42" s="8"/>
      <c r="AD42" s="151"/>
      <c r="AE42" s="239">
        <f t="shared" si="11"/>
        <v>980</v>
      </c>
      <c r="AF42" s="247">
        <v>980</v>
      </c>
      <c r="AG42" s="231"/>
      <c r="AH42" s="231"/>
      <c r="AI42" s="231"/>
      <c r="AJ42" s="238"/>
      <c r="AK42" s="26" t="s">
        <v>40</v>
      </c>
    </row>
    <row r="43" spans="1:37" x14ac:dyDescent="0.2">
      <c r="B43" s="238">
        <v>41</v>
      </c>
      <c r="C43" s="190" t="str">
        <f>HLOOKUP(Auswahl!$A$2,$D$3:$E$199,$B43,FALSE)</f>
        <v>Autres chèvres &gt; 1 an / Bouc</v>
      </c>
      <c r="D43" s="138" t="s">
        <v>225</v>
      </c>
      <c r="E43" s="138" t="s">
        <v>226</v>
      </c>
      <c r="F43" s="259">
        <f t="shared" si="6"/>
        <v>0</v>
      </c>
      <c r="G43" s="239">
        <f t="shared" si="7"/>
        <v>0</v>
      </c>
      <c r="H43" s="263"/>
      <c r="I43" s="231"/>
      <c r="J43" s="231"/>
      <c r="K43" s="231"/>
      <c r="L43" s="238"/>
      <c r="M43" s="155">
        <f t="shared" si="8"/>
        <v>0</v>
      </c>
      <c r="N43" s="207"/>
      <c r="O43" s="8"/>
      <c r="P43" s="8"/>
      <c r="Q43" s="8"/>
      <c r="R43" s="151"/>
      <c r="S43" s="155">
        <f t="shared" si="9"/>
        <v>0</v>
      </c>
      <c r="T43" s="207"/>
      <c r="U43" s="8"/>
      <c r="V43" s="8"/>
      <c r="W43" s="8"/>
      <c r="X43" s="151"/>
      <c r="Y43" s="155">
        <f t="shared" si="10"/>
        <v>0</v>
      </c>
      <c r="Z43" s="207"/>
      <c r="AA43" s="8"/>
      <c r="AB43" s="8"/>
      <c r="AC43" s="8"/>
      <c r="AD43" s="151"/>
      <c r="AE43" s="239">
        <f t="shared" si="11"/>
        <v>0</v>
      </c>
      <c r="AF43" s="263"/>
      <c r="AG43" s="231"/>
      <c r="AH43" s="231"/>
      <c r="AI43" s="231"/>
      <c r="AJ43" s="238"/>
      <c r="AK43" s="26"/>
    </row>
    <row r="44" spans="1:37" x14ac:dyDescent="0.2">
      <c r="B44" s="238">
        <v>42</v>
      </c>
      <c r="C44" s="190" t="str">
        <f>HLOOKUP(Auswahl!$A$2,$D$3:$E$199,$B44,FALSE)</f>
        <v>Chevreaux &lt; 1 an</v>
      </c>
      <c r="D44" s="138" t="s">
        <v>170</v>
      </c>
      <c r="E44" s="138" t="s">
        <v>88</v>
      </c>
      <c r="F44" s="259">
        <f t="shared" si="6"/>
        <v>0</v>
      </c>
      <c r="G44" s="239">
        <f t="shared" si="7"/>
        <v>0</v>
      </c>
      <c r="H44" s="263"/>
      <c r="I44" s="231"/>
      <c r="J44" s="231"/>
      <c r="K44" s="231"/>
      <c r="L44" s="238"/>
      <c r="M44" s="155">
        <f t="shared" si="8"/>
        <v>0</v>
      </c>
      <c r="N44" s="207"/>
      <c r="O44" s="8"/>
      <c r="P44" s="8"/>
      <c r="Q44" s="8"/>
      <c r="R44" s="151"/>
      <c r="S44" s="155">
        <f t="shared" si="9"/>
        <v>0</v>
      </c>
      <c r="T44" s="207"/>
      <c r="U44" s="8"/>
      <c r="V44" s="8"/>
      <c r="W44" s="8"/>
      <c r="X44" s="151"/>
      <c r="Y44" s="155">
        <f t="shared" si="10"/>
        <v>0</v>
      </c>
      <c r="Z44" s="207"/>
      <c r="AA44" s="8"/>
      <c r="AB44" s="8"/>
      <c r="AC44" s="8"/>
      <c r="AD44" s="151"/>
      <c r="AE44" s="239">
        <f t="shared" si="11"/>
        <v>0</v>
      </c>
      <c r="AF44" s="263"/>
      <c r="AG44" s="231"/>
      <c r="AH44" s="231"/>
      <c r="AI44" s="231"/>
      <c r="AJ44" s="238"/>
      <c r="AK44" s="26"/>
    </row>
    <row r="45" spans="1:37" x14ac:dyDescent="0.2">
      <c r="B45" s="238">
        <v>43</v>
      </c>
      <c r="C45" s="190" t="str">
        <f>HLOOKUP(Auswahl!$A$2,$D$3:$E$199,$B45,FALSE)</f>
        <v>Daims</v>
      </c>
      <c r="D45" s="138" t="s">
        <v>227</v>
      </c>
      <c r="E45" s="138" t="s">
        <v>191</v>
      </c>
      <c r="F45" s="259">
        <f t="shared" si="6"/>
        <v>160</v>
      </c>
      <c r="G45" s="239">
        <f t="shared" si="7"/>
        <v>169</v>
      </c>
      <c r="H45" s="247">
        <v>169</v>
      </c>
      <c r="I45" s="231"/>
      <c r="J45" s="231"/>
      <c r="K45" s="231"/>
      <c r="L45" s="238"/>
      <c r="M45" s="155">
        <f t="shared" si="8"/>
        <v>168</v>
      </c>
      <c r="N45" s="166">
        <v>168</v>
      </c>
      <c r="O45" s="8"/>
      <c r="P45" s="8"/>
      <c r="Q45" s="8"/>
      <c r="R45" s="151"/>
      <c r="S45" s="155">
        <f t="shared" si="9"/>
        <v>168</v>
      </c>
      <c r="T45" s="166">
        <v>168</v>
      </c>
      <c r="U45" s="8"/>
      <c r="V45" s="8"/>
      <c r="W45" s="8"/>
      <c r="X45" s="151"/>
      <c r="Y45" s="155">
        <f t="shared" si="10"/>
        <v>159</v>
      </c>
      <c r="Z45" s="166">
        <v>159</v>
      </c>
      <c r="AA45" s="8"/>
      <c r="AB45" s="8"/>
      <c r="AC45" s="8"/>
      <c r="AD45" s="151"/>
      <c r="AE45" s="239">
        <f t="shared" si="11"/>
        <v>159</v>
      </c>
      <c r="AF45" s="247">
        <v>159</v>
      </c>
      <c r="AG45" s="231"/>
      <c r="AH45" s="231"/>
      <c r="AI45" s="231"/>
      <c r="AJ45" s="238"/>
      <c r="AK45" s="26" t="s">
        <v>332</v>
      </c>
    </row>
    <row r="46" spans="1:37" x14ac:dyDescent="0.2">
      <c r="B46" s="238">
        <v>44</v>
      </c>
      <c r="C46" s="190" t="str">
        <f>HLOOKUP(Auswahl!$A$2,$D$3:$E$199,$B46,FALSE)</f>
        <v>Cerfs rouges</v>
      </c>
      <c r="D46" s="138" t="s">
        <v>228</v>
      </c>
      <c r="E46" s="138" t="s">
        <v>192</v>
      </c>
      <c r="F46" s="259">
        <f t="shared" si="6"/>
        <v>230</v>
      </c>
      <c r="G46" s="239">
        <f t="shared" si="7"/>
        <v>212</v>
      </c>
      <c r="H46" s="247">
        <v>212</v>
      </c>
      <c r="I46" s="231"/>
      <c r="J46" s="231"/>
      <c r="K46" s="231"/>
      <c r="L46" s="238"/>
      <c r="M46" s="155">
        <f t="shared" si="8"/>
        <v>231</v>
      </c>
      <c r="N46" s="166">
        <v>231</v>
      </c>
      <c r="O46" s="8"/>
      <c r="P46" s="8"/>
      <c r="Q46" s="8"/>
      <c r="R46" s="151"/>
      <c r="S46" s="155">
        <f t="shared" si="9"/>
        <v>231</v>
      </c>
      <c r="T46" s="166">
        <v>231</v>
      </c>
      <c r="U46" s="8"/>
      <c r="V46" s="8"/>
      <c r="W46" s="8"/>
      <c r="X46" s="151"/>
      <c r="Y46" s="155">
        <f t="shared" si="10"/>
        <v>229</v>
      </c>
      <c r="Z46" s="166">
        <v>229</v>
      </c>
      <c r="AA46" s="8"/>
      <c r="AB46" s="8"/>
      <c r="AC46" s="8"/>
      <c r="AD46" s="151"/>
      <c r="AE46" s="239">
        <f t="shared" si="11"/>
        <v>230</v>
      </c>
      <c r="AF46" s="247">
        <v>230</v>
      </c>
      <c r="AG46" s="231"/>
      <c r="AH46" s="231"/>
      <c r="AI46" s="231"/>
      <c r="AJ46" s="238"/>
      <c r="AK46" s="26" t="s">
        <v>333</v>
      </c>
    </row>
    <row r="47" spans="1:37" x14ac:dyDescent="0.2">
      <c r="B47" s="238">
        <v>45</v>
      </c>
      <c r="C47" s="190" t="str">
        <f>HLOOKUP(Auswahl!$A$2,$D$3:$E$199,$B47,FALSE)</f>
        <v>Buffles d'Asie</v>
      </c>
      <c r="D47" s="138" t="s">
        <v>171</v>
      </c>
      <c r="E47" s="138" t="s">
        <v>210</v>
      </c>
      <c r="F47" s="259">
        <f t="shared" si="6"/>
        <v>0</v>
      </c>
      <c r="G47" s="239">
        <f t="shared" si="7"/>
        <v>0</v>
      </c>
      <c r="H47" s="252"/>
      <c r="I47" s="231"/>
      <c r="J47" s="231"/>
      <c r="K47" s="231"/>
      <c r="L47" s="238"/>
      <c r="M47" s="155">
        <f t="shared" si="8"/>
        <v>0</v>
      </c>
      <c r="N47" s="172"/>
      <c r="O47" s="8"/>
      <c r="P47" s="8"/>
      <c r="Q47" s="8"/>
      <c r="R47" s="151"/>
      <c r="S47" s="155">
        <f t="shared" si="9"/>
        <v>0</v>
      </c>
      <c r="T47" s="172"/>
      <c r="U47" s="8"/>
      <c r="V47" s="8"/>
      <c r="W47" s="8"/>
      <c r="X47" s="151"/>
      <c r="Y47" s="155">
        <f t="shared" si="10"/>
        <v>0</v>
      </c>
      <c r="Z47" s="172"/>
      <c r="AA47" s="8"/>
      <c r="AB47" s="8"/>
      <c r="AC47" s="8"/>
      <c r="AD47" s="151"/>
      <c r="AE47" s="239">
        <f t="shared" si="11"/>
        <v>0</v>
      </c>
      <c r="AF47" s="252"/>
      <c r="AG47" s="231"/>
      <c r="AH47" s="231"/>
      <c r="AI47" s="231"/>
      <c r="AJ47" s="238"/>
      <c r="AK47" s="26" t="s">
        <v>35</v>
      </c>
    </row>
    <row r="48" spans="1:37" x14ac:dyDescent="0.2">
      <c r="B48" s="238">
        <v>46</v>
      </c>
      <c r="C48" s="190" t="str">
        <f>HLOOKUP(Auswahl!$A$2,$D$3:$E$199,$B48,FALSE)</f>
        <v>Mulets / ânes / poneys</v>
      </c>
      <c r="D48" s="138" t="s">
        <v>229</v>
      </c>
      <c r="E48" s="138" t="s">
        <v>89</v>
      </c>
      <c r="F48" s="259">
        <f t="shared" si="6"/>
        <v>0</v>
      </c>
      <c r="G48" s="239">
        <f t="shared" si="7"/>
        <v>0</v>
      </c>
      <c r="H48" s="252"/>
      <c r="I48" s="231"/>
      <c r="J48" s="231"/>
      <c r="K48" s="231"/>
      <c r="L48" s="238"/>
      <c r="M48" s="155">
        <f t="shared" si="8"/>
        <v>0</v>
      </c>
      <c r="N48" s="172"/>
      <c r="O48" s="8"/>
      <c r="P48" s="8"/>
      <c r="Q48" s="8"/>
      <c r="R48" s="151"/>
      <c r="S48" s="155">
        <f t="shared" si="9"/>
        <v>0</v>
      </c>
      <c r="T48" s="172"/>
      <c r="U48" s="8"/>
      <c r="V48" s="8"/>
      <c r="W48" s="8"/>
      <c r="X48" s="151"/>
      <c r="Y48" s="155">
        <f t="shared" si="10"/>
        <v>0</v>
      </c>
      <c r="Z48" s="172"/>
      <c r="AA48" s="8"/>
      <c r="AB48" s="8"/>
      <c r="AC48" s="8"/>
      <c r="AD48" s="151"/>
      <c r="AE48" s="239">
        <f t="shared" si="11"/>
        <v>0</v>
      </c>
      <c r="AF48" s="252"/>
      <c r="AG48" s="231"/>
      <c r="AH48" s="231"/>
      <c r="AI48" s="231"/>
      <c r="AJ48" s="238"/>
      <c r="AK48" s="26" t="s">
        <v>35</v>
      </c>
    </row>
    <row r="49" spans="2:37" x14ac:dyDescent="0.2">
      <c r="B49" s="238">
        <v>47</v>
      </c>
      <c r="C49" s="190" t="str">
        <f>HLOOKUP(Auswahl!$A$2,$D$3:$E$199,$B49,FALSE)</f>
        <v>Lamas &lt; 2 ans</v>
      </c>
      <c r="D49" s="138" t="s">
        <v>172</v>
      </c>
      <c r="E49" s="138" t="s">
        <v>90</v>
      </c>
      <c r="F49" s="259">
        <f t="shared" si="6"/>
        <v>0</v>
      </c>
      <c r="G49" s="239">
        <f t="shared" si="7"/>
        <v>0</v>
      </c>
      <c r="H49" s="252"/>
      <c r="I49" s="231"/>
      <c r="J49" s="231"/>
      <c r="K49" s="231"/>
      <c r="L49" s="238"/>
      <c r="M49" s="155">
        <f t="shared" si="8"/>
        <v>0</v>
      </c>
      <c r="N49" s="172"/>
      <c r="O49" s="8"/>
      <c r="P49" s="8"/>
      <c r="Q49" s="8"/>
      <c r="R49" s="151"/>
      <c r="S49" s="155">
        <f t="shared" si="9"/>
        <v>0</v>
      </c>
      <c r="T49" s="172"/>
      <c r="U49" s="8"/>
      <c r="V49" s="8"/>
      <c r="W49" s="8"/>
      <c r="X49" s="151"/>
      <c r="Y49" s="155">
        <f t="shared" si="10"/>
        <v>0</v>
      </c>
      <c r="Z49" s="172"/>
      <c r="AA49" s="8"/>
      <c r="AB49" s="8"/>
      <c r="AC49" s="8"/>
      <c r="AD49" s="151"/>
      <c r="AE49" s="239">
        <f t="shared" si="11"/>
        <v>0</v>
      </c>
      <c r="AF49" s="252"/>
      <c r="AG49" s="231"/>
      <c r="AH49" s="231"/>
      <c r="AI49" s="231"/>
      <c r="AJ49" s="238"/>
      <c r="AK49" s="26" t="s">
        <v>35</v>
      </c>
    </row>
    <row r="50" spans="2:37" x14ac:dyDescent="0.2">
      <c r="B50" s="238">
        <v>48</v>
      </c>
      <c r="C50" s="190" t="str">
        <f>HLOOKUP(Auswahl!$A$2,$D$3:$E$199,$B50,FALSE)</f>
        <v>Lamas &gt; 2 ans</v>
      </c>
      <c r="D50" s="138" t="s">
        <v>173</v>
      </c>
      <c r="E50" s="138" t="s">
        <v>91</v>
      </c>
      <c r="F50" s="259">
        <f t="shared" si="6"/>
        <v>0</v>
      </c>
      <c r="G50" s="239">
        <f t="shared" si="7"/>
        <v>0</v>
      </c>
      <c r="H50" s="252"/>
      <c r="I50" s="231"/>
      <c r="J50" s="231"/>
      <c r="K50" s="231"/>
      <c r="L50" s="238"/>
      <c r="M50" s="155">
        <f t="shared" si="8"/>
        <v>0</v>
      </c>
      <c r="N50" s="172"/>
      <c r="O50" s="8"/>
      <c r="P50" s="8"/>
      <c r="Q50" s="8"/>
      <c r="R50" s="151"/>
      <c r="S50" s="155">
        <f t="shared" si="9"/>
        <v>0</v>
      </c>
      <c r="T50" s="172"/>
      <c r="U50" s="8"/>
      <c r="V50" s="8"/>
      <c r="W50" s="8"/>
      <c r="X50" s="151"/>
      <c r="Y50" s="155">
        <f t="shared" si="10"/>
        <v>0</v>
      </c>
      <c r="Z50" s="172"/>
      <c r="AA50" s="8"/>
      <c r="AB50" s="8"/>
      <c r="AC50" s="8"/>
      <c r="AD50" s="151"/>
      <c r="AE50" s="239">
        <f t="shared" si="11"/>
        <v>0</v>
      </c>
      <c r="AF50" s="252"/>
      <c r="AG50" s="231"/>
      <c r="AH50" s="231"/>
      <c r="AI50" s="231"/>
      <c r="AJ50" s="238"/>
      <c r="AK50" s="26" t="s">
        <v>35</v>
      </c>
    </row>
    <row r="51" spans="2:37" x14ac:dyDescent="0.2">
      <c r="B51" s="238">
        <v>49</v>
      </c>
      <c r="C51" s="190" t="str">
        <f>HLOOKUP(Auswahl!$A$2,$D$3:$E$199,$B51,FALSE)</f>
        <v>Alpagas &lt; 2 ans</v>
      </c>
      <c r="D51" s="138" t="s">
        <v>174</v>
      </c>
      <c r="E51" s="138" t="s">
        <v>92</v>
      </c>
      <c r="F51" s="259">
        <f t="shared" si="6"/>
        <v>0</v>
      </c>
      <c r="G51" s="239">
        <f t="shared" si="7"/>
        <v>0</v>
      </c>
      <c r="H51" s="252"/>
      <c r="I51" s="231"/>
      <c r="J51" s="231"/>
      <c r="K51" s="231"/>
      <c r="L51" s="238"/>
      <c r="M51" s="155">
        <f t="shared" si="8"/>
        <v>0</v>
      </c>
      <c r="N51" s="172"/>
      <c r="O51" s="8"/>
      <c r="P51" s="8"/>
      <c r="Q51" s="8"/>
      <c r="R51" s="151"/>
      <c r="S51" s="155">
        <f t="shared" si="9"/>
        <v>0</v>
      </c>
      <c r="T51" s="172"/>
      <c r="U51" s="8"/>
      <c r="V51" s="8"/>
      <c r="W51" s="8"/>
      <c r="X51" s="151"/>
      <c r="Y51" s="155">
        <f t="shared" si="10"/>
        <v>0</v>
      </c>
      <c r="Z51" s="172"/>
      <c r="AA51" s="8"/>
      <c r="AB51" s="8"/>
      <c r="AC51" s="8"/>
      <c r="AD51" s="151"/>
      <c r="AE51" s="239">
        <f t="shared" si="11"/>
        <v>0</v>
      </c>
      <c r="AF51" s="252"/>
      <c r="AG51" s="231"/>
      <c r="AH51" s="231"/>
      <c r="AI51" s="231"/>
      <c r="AJ51" s="238"/>
      <c r="AK51" s="26" t="s">
        <v>35</v>
      </c>
    </row>
    <row r="52" spans="2:37" x14ac:dyDescent="0.2">
      <c r="B52" s="238">
        <v>50</v>
      </c>
      <c r="C52" s="190" t="str">
        <f>HLOOKUP(Auswahl!$A$2,$D$3:$E$199,$B52,FALSE)</f>
        <v>Alpagas &gt; 2ans</v>
      </c>
      <c r="D52" s="138" t="s">
        <v>175</v>
      </c>
      <c r="E52" s="138" t="s">
        <v>93</v>
      </c>
      <c r="F52" s="259">
        <f t="shared" si="6"/>
        <v>0</v>
      </c>
      <c r="G52" s="239">
        <f t="shared" si="7"/>
        <v>0</v>
      </c>
      <c r="H52" s="252"/>
      <c r="I52" s="231"/>
      <c r="J52" s="231"/>
      <c r="K52" s="231"/>
      <c r="L52" s="238"/>
      <c r="M52" s="155">
        <f t="shared" si="8"/>
        <v>0</v>
      </c>
      <c r="N52" s="172"/>
      <c r="O52" s="8"/>
      <c r="P52" s="8"/>
      <c r="Q52" s="8"/>
      <c r="R52" s="151"/>
      <c r="S52" s="155">
        <f t="shared" si="9"/>
        <v>0</v>
      </c>
      <c r="T52" s="172"/>
      <c r="U52" s="8"/>
      <c r="V52" s="8"/>
      <c r="W52" s="8"/>
      <c r="X52" s="151"/>
      <c r="Y52" s="155">
        <f t="shared" si="10"/>
        <v>0</v>
      </c>
      <c r="Z52" s="172"/>
      <c r="AA52" s="8"/>
      <c r="AB52" s="8"/>
      <c r="AC52" s="8"/>
      <c r="AD52" s="151"/>
      <c r="AE52" s="239">
        <f t="shared" si="11"/>
        <v>0</v>
      </c>
      <c r="AF52" s="252"/>
      <c r="AG52" s="231"/>
      <c r="AH52" s="231"/>
      <c r="AI52" s="231"/>
      <c r="AJ52" s="238"/>
      <c r="AK52" s="26" t="s">
        <v>35</v>
      </c>
    </row>
    <row r="53" spans="2:37" x14ac:dyDescent="0.2">
      <c r="B53" s="238">
        <v>51</v>
      </c>
      <c r="C53" s="190" t="str">
        <f>HLOOKUP(Auswahl!$A$2,$D$3:$E$199,$B53,FALSE)</f>
        <v>Total</v>
      </c>
      <c r="D53" s="138" t="s">
        <v>137</v>
      </c>
      <c r="E53" s="138" t="s">
        <v>137</v>
      </c>
      <c r="F53" s="200" t="s">
        <v>151</v>
      </c>
      <c r="G53" s="239"/>
      <c r="H53" s="248"/>
      <c r="I53" s="236"/>
      <c r="J53" s="249"/>
      <c r="K53" s="249"/>
      <c r="L53" s="238"/>
      <c r="M53" s="155"/>
      <c r="N53" s="167"/>
      <c r="O53" s="30"/>
      <c r="P53" s="168"/>
      <c r="Q53" s="168"/>
      <c r="R53" s="151"/>
      <c r="S53" s="155"/>
      <c r="T53" s="167"/>
      <c r="U53" s="30"/>
      <c r="V53" s="168"/>
      <c r="W53" s="168"/>
      <c r="X53" s="151"/>
      <c r="Y53" s="155"/>
      <c r="Z53" s="167"/>
      <c r="AA53" s="30"/>
      <c r="AB53" s="168"/>
      <c r="AC53" s="168"/>
      <c r="AD53" s="151"/>
      <c r="AE53" s="239"/>
      <c r="AF53" s="248"/>
      <c r="AG53" s="236"/>
      <c r="AH53" s="249"/>
      <c r="AI53" s="249"/>
      <c r="AJ53" s="238"/>
    </row>
    <row r="54" spans="2:37" x14ac:dyDescent="0.2">
      <c r="B54" s="238">
        <v>52</v>
      </c>
      <c r="C54" s="190" t="str">
        <f>HLOOKUP(Auswahl!$A$2,$D$3:$E$199,$B54,FALSE)</f>
        <v/>
      </c>
      <c r="D54" s="170" t="s">
        <v>151</v>
      </c>
      <c r="E54" s="170" t="s">
        <v>151</v>
      </c>
      <c r="F54" s="200" t="s">
        <v>151</v>
      </c>
      <c r="G54" s="251"/>
      <c r="H54" s="252"/>
      <c r="I54" s="236"/>
      <c r="J54" s="249"/>
      <c r="K54" s="249"/>
      <c r="L54" s="238"/>
      <c r="M54" s="171"/>
      <c r="N54" s="172"/>
      <c r="O54" s="30"/>
      <c r="P54" s="168"/>
      <c r="Q54" s="168"/>
      <c r="R54" s="151"/>
      <c r="S54" s="171"/>
      <c r="T54" s="172"/>
      <c r="U54" s="30"/>
      <c r="V54" s="168"/>
      <c r="W54" s="168"/>
      <c r="X54" s="151"/>
      <c r="Y54" s="171"/>
      <c r="Z54" s="172"/>
      <c r="AA54" s="30"/>
      <c r="AB54" s="168"/>
      <c r="AC54" s="168"/>
      <c r="AD54" s="151"/>
      <c r="AE54" s="251"/>
      <c r="AF54" s="252"/>
      <c r="AG54" s="236"/>
      <c r="AH54" s="249"/>
      <c r="AI54" s="249"/>
      <c r="AJ54" s="238"/>
    </row>
    <row r="55" spans="2:37" x14ac:dyDescent="0.2">
      <c r="B55" s="238">
        <v>53</v>
      </c>
      <c r="C55" s="190" t="str">
        <f>HLOOKUP(Auswahl!$A$2,$D$3:$E$199,$B55,FALSE)</f>
        <v>Productions "développement interne"</v>
      </c>
      <c r="D55" s="139" t="s">
        <v>42</v>
      </c>
      <c r="E55" s="139" t="s">
        <v>134</v>
      </c>
      <c r="F55" s="200" t="s">
        <v>151</v>
      </c>
      <c r="G55" s="242"/>
      <c r="H55" s="373" t="e">
        <f>#REF!</f>
        <v>#REF!</v>
      </c>
      <c r="I55" s="374"/>
      <c r="J55" s="374"/>
      <c r="K55" s="374"/>
      <c r="L55" s="375"/>
      <c r="M55" s="159"/>
      <c r="N55" s="373" t="str">
        <f>C55</f>
        <v>Productions "développement interne"</v>
      </c>
      <c r="O55" s="374"/>
      <c r="P55" s="374"/>
      <c r="Q55" s="374"/>
      <c r="R55" s="375"/>
      <c r="S55" s="159"/>
      <c r="T55" s="373" t="str">
        <f>C55</f>
        <v>Productions "développement interne"</v>
      </c>
      <c r="U55" s="374"/>
      <c r="V55" s="374"/>
      <c r="W55" s="374"/>
      <c r="X55" s="375"/>
      <c r="Y55" s="159"/>
      <c r="Z55" s="373" t="str">
        <f>C55</f>
        <v>Productions "développement interne"</v>
      </c>
      <c r="AA55" s="374"/>
      <c r="AB55" s="374"/>
      <c r="AC55" s="374"/>
      <c r="AD55" s="375"/>
      <c r="AE55" s="242"/>
      <c r="AF55" s="373" t="s">
        <v>42</v>
      </c>
      <c r="AG55" s="374"/>
      <c r="AH55" s="374"/>
      <c r="AI55" s="374"/>
      <c r="AJ55" s="375"/>
      <c r="AK55" s="12"/>
    </row>
    <row r="56" spans="2:37" x14ac:dyDescent="0.2">
      <c r="B56" s="238">
        <v>54</v>
      </c>
      <c r="C56" s="77" t="s">
        <v>151</v>
      </c>
      <c r="D56" s="138"/>
      <c r="E56" s="138"/>
      <c r="F56" s="200" t="s">
        <v>151</v>
      </c>
      <c r="G56" s="239"/>
      <c r="H56" s="243"/>
      <c r="I56" s="231"/>
      <c r="J56" s="231"/>
      <c r="K56" s="231"/>
      <c r="L56" s="238"/>
      <c r="M56" s="155"/>
      <c r="N56" s="160"/>
      <c r="O56" s="8"/>
      <c r="P56" s="8"/>
      <c r="Q56" s="8"/>
      <c r="R56" s="151"/>
      <c r="S56" s="155"/>
      <c r="T56" s="160"/>
      <c r="U56" s="8"/>
      <c r="V56" s="8"/>
      <c r="W56" s="8"/>
      <c r="X56" s="151"/>
      <c r="Y56" s="155"/>
      <c r="Z56" s="160"/>
      <c r="AA56" s="8"/>
      <c r="AB56" s="8"/>
      <c r="AC56" s="8"/>
      <c r="AD56" s="151"/>
      <c r="AE56" s="239"/>
      <c r="AF56" s="243"/>
      <c r="AG56" s="231"/>
      <c r="AH56" s="231"/>
      <c r="AI56" s="231"/>
      <c r="AJ56" s="238"/>
    </row>
    <row r="57" spans="2:37" x14ac:dyDescent="0.2">
      <c r="B57" s="238">
        <v>55</v>
      </c>
      <c r="C57" s="190" t="str">
        <f>HLOOKUP(Auswahl!$A$2,$D$3:$E$199,$B57,FALSE)</f>
        <v xml:space="preserve">Veaux engr. poudre, babeurre </v>
      </c>
      <c r="D57" s="138" t="s">
        <v>176</v>
      </c>
      <c r="E57" s="138" t="s">
        <v>133</v>
      </c>
      <c r="F57" s="191">
        <f>ROUND(AVERAGE(Y57,M57,S57,AE57,G57),-1)</f>
        <v>420</v>
      </c>
      <c r="G57" s="239">
        <f>H57</f>
        <v>887</v>
      </c>
      <c r="H57" s="247">
        <f>911-24</f>
        <v>887</v>
      </c>
      <c r="I57" s="231"/>
      <c r="J57" s="231"/>
      <c r="K57" s="231"/>
      <c r="L57" s="238"/>
      <c r="M57" s="155">
        <f>N57</f>
        <v>393</v>
      </c>
      <c r="N57" s="166">
        <f>437-44</f>
        <v>393</v>
      </c>
      <c r="O57" s="8"/>
      <c r="P57" s="8"/>
      <c r="Q57" s="8"/>
      <c r="R57" s="151"/>
      <c r="S57" s="155">
        <f>T57</f>
        <v>211</v>
      </c>
      <c r="T57" s="166">
        <f>254-43</f>
        <v>211</v>
      </c>
      <c r="U57" s="8"/>
      <c r="V57" s="8"/>
      <c r="W57" s="8"/>
      <c r="X57" s="151"/>
      <c r="Y57" s="155">
        <f>Z57</f>
        <v>3</v>
      </c>
      <c r="Z57" s="166">
        <f>25-22</f>
        <v>3</v>
      </c>
      <c r="AA57" s="8"/>
      <c r="AB57" s="8"/>
      <c r="AC57" s="8"/>
      <c r="AD57" s="151"/>
      <c r="AE57" s="239">
        <f>AF57</f>
        <v>585</v>
      </c>
      <c r="AF57" s="247">
        <f>607-22</f>
        <v>585</v>
      </c>
      <c r="AG57" s="231"/>
      <c r="AH57" s="231"/>
      <c r="AI57" s="231"/>
      <c r="AJ57" s="238"/>
      <c r="AK57" s="26" t="s">
        <v>334</v>
      </c>
    </row>
    <row r="58" spans="2:37" x14ac:dyDescent="0.2">
      <c r="B58" s="238">
        <v>56</v>
      </c>
      <c r="C58" s="190" t="str">
        <f>HLOOKUP(Auswahl!$A$2,$D$3:$E$199,$B58,FALSE)</f>
        <v/>
      </c>
      <c r="D58" s="173" t="s">
        <v>151</v>
      </c>
      <c r="E58" s="173" t="s">
        <v>151</v>
      </c>
      <c r="F58" s="200" t="s">
        <v>151</v>
      </c>
      <c r="G58" s="253"/>
      <c r="H58" s="254"/>
      <c r="I58" s="284"/>
      <c r="J58" s="284"/>
      <c r="K58" s="284"/>
      <c r="L58" s="250"/>
      <c r="M58" s="174"/>
      <c r="N58" s="175"/>
      <c r="O58" s="226"/>
      <c r="P58" s="226"/>
      <c r="Q58" s="226"/>
      <c r="R58" s="169"/>
      <c r="S58" s="174"/>
      <c r="T58" s="175"/>
      <c r="U58" s="194"/>
      <c r="V58" s="194"/>
      <c r="W58" s="194"/>
      <c r="X58" s="169"/>
      <c r="Y58" s="174"/>
      <c r="Z58" s="175"/>
      <c r="AA58" s="194"/>
      <c r="AB58" s="194"/>
      <c r="AC58" s="194"/>
      <c r="AD58" s="169"/>
      <c r="AE58" s="253"/>
      <c r="AF58" s="254"/>
      <c r="AG58" s="258"/>
      <c r="AH58" s="258"/>
      <c r="AI58" s="258"/>
      <c r="AJ58" s="250"/>
      <c r="AK58" s="195"/>
    </row>
    <row r="59" spans="2:37" s="33" customFormat="1" x14ac:dyDescent="0.2">
      <c r="B59" s="238">
        <v>57</v>
      </c>
      <c r="C59" s="206" t="str">
        <f>HLOOKUP(Auswahl!$A$2,$D$3:$E$199,$B59,FALSE)</f>
        <v>Truies  y. c. porcelets (cycle complet)</v>
      </c>
      <c r="D59" s="141" t="s">
        <v>177</v>
      </c>
      <c r="E59" s="141" t="s">
        <v>128</v>
      </c>
      <c r="F59" s="259">
        <f>ROUND(AVERAGE(Y59,M59,S59,AE59,G59),-1)</f>
        <v>1320</v>
      </c>
      <c r="G59" s="251">
        <f t="shared" ref="G59:G65" si="12">H59</f>
        <v>984</v>
      </c>
      <c r="H59" s="247">
        <f>1079-21-74</f>
        <v>984</v>
      </c>
      <c r="I59" s="232"/>
      <c r="J59" s="232"/>
      <c r="K59" s="232"/>
      <c r="L59" s="260"/>
      <c r="M59" s="171">
        <f t="shared" ref="M59:M65" si="13">N59</f>
        <v>1939</v>
      </c>
      <c r="N59" s="166">
        <f>2034-21-74</f>
        <v>1939</v>
      </c>
      <c r="O59" s="9"/>
      <c r="P59" s="9"/>
      <c r="Q59" s="9"/>
      <c r="R59" s="199"/>
      <c r="S59" s="171">
        <f t="shared" ref="S59:S65" si="14">T59</f>
        <v>1903</v>
      </c>
      <c r="T59" s="166">
        <f>1998-21-74</f>
        <v>1903</v>
      </c>
      <c r="U59" s="9"/>
      <c r="V59" s="9"/>
      <c r="W59" s="9"/>
      <c r="X59" s="199"/>
      <c r="Y59" s="171">
        <f t="shared" ref="Y59:Y65" si="15">Z59</f>
        <v>1009</v>
      </c>
      <c r="Z59" s="166">
        <f>1104-21-74</f>
        <v>1009</v>
      </c>
      <c r="AA59" s="9"/>
      <c r="AB59" s="9"/>
      <c r="AC59" s="9"/>
      <c r="AD59" s="199"/>
      <c r="AE59" s="251">
        <f t="shared" ref="AE59:AE65" si="16">AF59</f>
        <v>778</v>
      </c>
      <c r="AF59" s="247">
        <f>873-21-74</f>
        <v>778</v>
      </c>
      <c r="AG59" s="232"/>
      <c r="AH59" s="232"/>
      <c r="AI59" s="232"/>
      <c r="AJ59" s="260"/>
      <c r="AK59" s="54" t="s">
        <v>336</v>
      </c>
    </row>
    <row r="60" spans="2:37" x14ac:dyDescent="0.2">
      <c r="B60" s="238">
        <v>58</v>
      </c>
      <c r="C60" s="190" t="str">
        <f>HLOOKUP(Auswahl!$A$2,$D$3:$E$199,$B60,FALSE)</f>
        <v>Porcs à l'engrais, remontes &lt; 6 mois</v>
      </c>
      <c r="D60" s="138" t="s">
        <v>178</v>
      </c>
      <c r="E60" s="138" t="s">
        <v>94</v>
      </c>
      <c r="F60" s="259">
        <f t="shared" ref="F60:F65" si="17">ROUND(AVERAGE(Y60,M60,S60,AE60,G60),-1)</f>
        <v>150</v>
      </c>
      <c r="G60" s="239">
        <f t="shared" si="12"/>
        <v>201</v>
      </c>
      <c r="H60" s="247">
        <f>229-28</f>
        <v>201</v>
      </c>
      <c r="I60" s="231"/>
      <c r="J60" s="231"/>
      <c r="K60" s="231"/>
      <c r="L60" s="238"/>
      <c r="M60" s="155">
        <f t="shared" si="13"/>
        <v>131</v>
      </c>
      <c r="N60" s="166">
        <f>159-28</f>
        <v>131</v>
      </c>
      <c r="O60" s="8"/>
      <c r="P60" s="8"/>
      <c r="Q60" s="8"/>
      <c r="R60" s="151"/>
      <c r="S60" s="155">
        <f t="shared" si="14"/>
        <v>163</v>
      </c>
      <c r="T60" s="166">
        <f>191-28</f>
        <v>163</v>
      </c>
      <c r="U60" s="8"/>
      <c r="V60" s="8"/>
      <c r="W60" s="8"/>
      <c r="X60" s="151"/>
      <c r="Y60" s="155">
        <f t="shared" si="15"/>
        <v>129</v>
      </c>
      <c r="Z60" s="166">
        <f>157-28</f>
        <v>129</v>
      </c>
      <c r="AA60" s="8"/>
      <c r="AB60" s="8"/>
      <c r="AC60" s="8"/>
      <c r="AD60" s="151"/>
      <c r="AE60" s="239">
        <f t="shared" si="16"/>
        <v>142</v>
      </c>
      <c r="AF60" s="247">
        <f>170-28</f>
        <v>142</v>
      </c>
      <c r="AG60" s="231"/>
      <c r="AH60" s="231"/>
      <c r="AI60" s="231"/>
      <c r="AJ60" s="238"/>
      <c r="AK60" s="26" t="s">
        <v>335</v>
      </c>
    </row>
    <row r="61" spans="2:37" x14ac:dyDescent="0.2">
      <c r="B61" s="238">
        <v>59</v>
      </c>
      <c r="C61" s="190" t="str">
        <f>HLOOKUP(Auswahl!$A$2,$D$3:$E$199,$B61,FALSE)</f>
        <v>Verrat</v>
      </c>
      <c r="D61" s="138" t="s">
        <v>179</v>
      </c>
      <c r="E61" s="138" t="s">
        <v>127</v>
      </c>
      <c r="F61" s="259">
        <f t="shared" si="17"/>
        <v>0</v>
      </c>
      <c r="G61" s="239">
        <f t="shared" si="12"/>
        <v>0</v>
      </c>
      <c r="H61" s="263"/>
      <c r="I61" s="231"/>
      <c r="J61" s="231"/>
      <c r="K61" s="231"/>
      <c r="L61" s="238"/>
      <c r="M61" s="155">
        <f t="shared" si="13"/>
        <v>0</v>
      </c>
      <c r="N61" s="207"/>
      <c r="O61" s="8"/>
      <c r="P61" s="8"/>
      <c r="Q61" s="8"/>
      <c r="R61" s="151"/>
      <c r="S61" s="155">
        <f t="shared" si="14"/>
        <v>0</v>
      </c>
      <c r="T61" s="207"/>
      <c r="U61" s="8"/>
      <c r="V61" s="8"/>
      <c r="W61" s="8"/>
      <c r="X61" s="151"/>
      <c r="Y61" s="155">
        <f t="shared" si="15"/>
        <v>0</v>
      </c>
      <c r="Z61" s="207"/>
      <c r="AA61" s="8"/>
      <c r="AB61" s="8"/>
      <c r="AC61" s="8"/>
      <c r="AD61" s="151"/>
      <c r="AE61" s="239">
        <f t="shared" si="16"/>
        <v>0</v>
      </c>
      <c r="AF61" s="263"/>
      <c r="AG61" s="231"/>
      <c r="AH61" s="231"/>
      <c r="AI61" s="231"/>
      <c r="AJ61" s="238"/>
    </row>
    <row r="62" spans="2:37" x14ac:dyDescent="0.2">
      <c r="B62" s="238">
        <v>60</v>
      </c>
      <c r="C62" s="190" t="str">
        <f>HLOOKUP(Auswahl!$A$2,$D$3:$E$199,$B62,FALSE)</f>
        <v>Porcelets sevrés jusqu'à 25 kg</v>
      </c>
      <c r="D62" s="138" t="s">
        <v>180</v>
      </c>
      <c r="E62" s="138" t="s">
        <v>95</v>
      </c>
      <c r="F62" s="259">
        <f t="shared" si="17"/>
        <v>0</v>
      </c>
      <c r="G62" s="239">
        <f t="shared" si="12"/>
        <v>0</v>
      </c>
      <c r="H62" s="252"/>
      <c r="I62" s="232"/>
      <c r="J62" s="232"/>
      <c r="K62" s="232"/>
      <c r="L62" s="260"/>
      <c r="M62" s="155">
        <f t="shared" si="13"/>
        <v>0</v>
      </c>
      <c r="N62" s="172"/>
      <c r="O62" s="9"/>
      <c r="P62" s="9"/>
      <c r="Q62" s="9"/>
      <c r="R62" s="199"/>
      <c r="S62" s="155">
        <f t="shared" si="14"/>
        <v>0</v>
      </c>
      <c r="T62" s="172"/>
      <c r="U62" s="9"/>
      <c r="V62" s="9"/>
      <c r="W62" s="9"/>
      <c r="X62" s="199"/>
      <c r="Y62" s="171">
        <f t="shared" si="15"/>
        <v>0</v>
      </c>
      <c r="Z62" s="172"/>
      <c r="AA62" s="9"/>
      <c r="AB62" s="9"/>
      <c r="AC62" s="9"/>
      <c r="AD62" s="199"/>
      <c r="AE62" s="251">
        <f t="shared" si="16"/>
        <v>0</v>
      </c>
      <c r="AF62" s="252"/>
      <c r="AG62" s="231"/>
      <c r="AH62" s="231"/>
      <c r="AI62" s="231"/>
      <c r="AJ62" s="238"/>
      <c r="AK62" s="26" t="s">
        <v>35</v>
      </c>
    </row>
    <row r="63" spans="2:37" x14ac:dyDescent="0.2">
      <c r="B63" s="238">
        <v>61</v>
      </c>
      <c r="C63" s="190" t="str">
        <f>HLOOKUP(Auswahl!$A$2,$D$3:$E$199,$B63,FALSE)</f>
        <v>Truies non allaitantes, &gt; 6 mois</v>
      </c>
      <c r="D63" s="225" t="s">
        <v>360</v>
      </c>
      <c r="E63" s="225" t="s">
        <v>363</v>
      </c>
      <c r="F63" s="259">
        <f t="shared" si="17"/>
        <v>0</v>
      </c>
      <c r="G63" s="239">
        <f t="shared" si="12"/>
        <v>0</v>
      </c>
      <c r="H63" s="252"/>
      <c r="I63" s="232"/>
      <c r="J63" s="232"/>
      <c r="K63" s="232"/>
      <c r="L63" s="260"/>
      <c r="M63" s="155">
        <f t="shared" si="13"/>
        <v>0</v>
      </c>
      <c r="N63" s="172"/>
      <c r="O63" s="9"/>
      <c r="P63" s="9"/>
      <c r="Q63" s="9"/>
      <c r="R63" s="199"/>
      <c r="S63" s="155">
        <f t="shared" si="14"/>
        <v>0</v>
      </c>
      <c r="T63" s="172"/>
      <c r="U63" s="9"/>
      <c r="V63" s="9"/>
      <c r="W63" s="9"/>
      <c r="X63" s="199"/>
      <c r="Y63" s="171">
        <f t="shared" si="15"/>
        <v>0</v>
      </c>
      <c r="Z63" s="172"/>
      <c r="AA63" s="9"/>
      <c r="AB63" s="9"/>
      <c r="AC63" s="9"/>
      <c r="AD63" s="199"/>
      <c r="AE63" s="251">
        <f t="shared" si="16"/>
        <v>0</v>
      </c>
      <c r="AF63" s="252"/>
      <c r="AG63" s="231"/>
      <c r="AH63" s="231"/>
      <c r="AI63" s="231"/>
      <c r="AJ63" s="238"/>
      <c r="AK63" s="26" t="s">
        <v>35</v>
      </c>
    </row>
    <row r="64" spans="2:37" x14ac:dyDescent="0.2">
      <c r="B64" s="238">
        <v>62</v>
      </c>
      <c r="C64" s="190" t="str">
        <f>HLOOKUP(Auswahl!$A$2,$D$3:$E$199,$B64,FALSE)</f>
        <v>Exploitation mise bas, élevage (ring)</v>
      </c>
      <c r="D64" s="138" t="s">
        <v>181</v>
      </c>
      <c r="E64" s="138" t="s">
        <v>126</v>
      </c>
      <c r="F64" s="259">
        <f t="shared" si="17"/>
        <v>0</v>
      </c>
      <c r="G64" s="239">
        <f t="shared" si="12"/>
        <v>0</v>
      </c>
      <c r="H64" s="252"/>
      <c r="I64" s="232"/>
      <c r="J64" s="232"/>
      <c r="K64" s="232"/>
      <c r="L64" s="260"/>
      <c r="M64" s="155">
        <f t="shared" si="13"/>
        <v>0</v>
      </c>
      <c r="N64" s="172"/>
      <c r="O64" s="9"/>
      <c r="P64" s="9"/>
      <c r="Q64" s="9"/>
      <c r="R64" s="199"/>
      <c r="S64" s="155">
        <f t="shared" si="14"/>
        <v>0</v>
      </c>
      <c r="T64" s="172"/>
      <c r="U64" s="9"/>
      <c r="V64" s="9"/>
      <c r="W64" s="9"/>
      <c r="X64" s="199"/>
      <c r="Y64" s="171">
        <f t="shared" si="15"/>
        <v>0</v>
      </c>
      <c r="Z64" s="172"/>
      <c r="AA64" s="9"/>
      <c r="AB64" s="9"/>
      <c r="AC64" s="9"/>
      <c r="AD64" s="199"/>
      <c r="AE64" s="251">
        <f t="shared" si="16"/>
        <v>0</v>
      </c>
      <c r="AF64" s="252"/>
      <c r="AG64" s="231"/>
      <c r="AH64" s="231"/>
      <c r="AI64" s="231"/>
      <c r="AJ64" s="238"/>
      <c r="AK64" s="26" t="s">
        <v>361</v>
      </c>
    </row>
    <row r="65" spans="1:37" x14ac:dyDescent="0.2">
      <c r="B65" s="238">
        <v>63</v>
      </c>
      <c r="C65" s="190" t="str">
        <f>HLOOKUP(Auswahl!$A$2,$D$3:$E$199,$B65,FALSE)</f>
        <v>Exploitation de saillie et portantes (ring)</v>
      </c>
      <c r="D65" s="138" t="s">
        <v>182</v>
      </c>
      <c r="E65" s="138" t="s">
        <v>125</v>
      </c>
      <c r="F65" s="259">
        <f t="shared" si="17"/>
        <v>0</v>
      </c>
      <c r="G65" s="239">
        <f t="shared" si="12"/>
        <v>0</v>
      </c>
      <c r="H65" s="252"/>
      <c r="I65" s="232"/>
      <c r="J65" s="232"/>
      <c r="K65" s="232"/>
      <c r="L65" s="260"/>
      <c r="M65" s="155">
        <f t="shared" si="13"/>
        <v>0</v>
      </c>
      <c r="N65" s="172"/>
      <c r="O65" s="9"/>
      <c r="P65" s="9"/>
      <c r="Q65" s="9"/>
      <c r="R65" s="199"/>
      <c r="S65" s="155">
        <f t="shared" si="14"/>
        <v>0</v>
      </c>
      <c r="T65" s="172"/>
      <c r="U65" s="9"/>
      <c r="V65" s="9"/>
      <c r="W65" s="9"/>
      <c r="X65" s="199"/>
      <c r="Y65" s="171">
        <f t="shared" si="15"/>
        <v>0</v>
      </c>
      <c r="Z65" s="172"/>
      <c r="AA65" s="9"/>
      <c r="AB65" s="9"/>
      <c r="AC65" s="9"/>
      <c r="AD65" s="199"/>
      <c r="AE65" s="251">
        <f t="shared" si="16"/>
        <v>0</v>
      </c>
      <c r="AF65" s="252"/>
      <c r="AG65" s="231"/>
      <c r="AH65" s="231"/>
      <c r="AI65" s="231"/>
      <c r="AJ65" s="238"/>
      <c r="AK65" s="26" t="s">
        <v>362</v>
      </c>
    </row>
    <row r="66" spans="1:37" x14ac:dyDescent="0.2">
      <c r="B66" s="238">
        <v>64</v>
      </c>
      <c r="C66" s="190" t="str">
        <f>HLOOKUP(Auswahl!$A$2,$D$3:$E$199,$B66,FALSE)</f>
        <v/>
      </c>
      <c r="D66" s="170" t="s">
        <v>151</v>
      </c>
      <c r="E66" s="170" t="s">
        <v>151</v>
      </c>
      <c r="F66" s="200" t="s">
        <v>151</v>
      </c>
      <c r="G66" s="251"/>
      <c r="H66" s="255"/>
      <c r="I66" s="231"/>
      <c r="J66" s="231"/>
      <c r="K66" s="231"/>
      <c r="L66" s="238"/>
      <c r="M66" s="171"/>
      <c r="N66" s="176"/>
      <c r="O66" s="8"/>
      <c r="P66" s="8"/>
      <c r="Q66" s="8"/>
      <c r="R66" s="151"/>
      <c r="S66" s="171"/>
      <c r="T66" s="176"/>
      <c r="U66" s="8"/>
      <c r="V66" s="8"/>
      <c r="W66" s="8"/>
      <c r="X66" s="151"/>
      <c r="Y66" s="171"/>
      <c r="Z66" s="176"/>
      <c r="AA66" s="8"/>
      <c r="AB66" s="8"/>
      <c r="AC66" s="8"/>
      <c r="AD66" s="151"/>
      <c r="AE66" s="251"/>
      <c r="AF66" s="255"/>
      <c r="AG66" s="231"/>
      <c r="AH66" s="231"/>
      <c r="AI66" s="231"/>
      <c r="AJ66" s="238"/>
    </row>
    <row r="67" spans="1:37" x14ac:dyDescent="0.2">
      <c r="B67" s="238">
        <v>65</v>
      </c>
      <c r="C67" s="190" t="str">
        <f>HLOOKUP(Auswahl!$A$2,$D$3:$E$199,$B67,FALSE)</f>
        <v>Pondeuses</v>
      </c>
      <c r="D67" s="138" t="s">
        <v>183</v>
      </c>
      <c r="E67" s="138" t="s">
        <v>96</v>
      </c>
      <c r="F67" s="270">
        <f>AVERAGE(Y67,M67,S67,AE67,G67)</f>
        <v>23.110699999999998</v>
      </c>
      <c r="G67" s="256">
        <f t="shared" ref="G67:G76" si="18">H67</f>
        <v>22.518999999999998</v>
      </c>
      <c r="H67" s="257">
        <f>(248052+9240+12936)/12000</f>
        <v>22.518999999999998</v>
      </c>
      <c r="I67" s="231"/>
      <c r="J67" s="231"/>
      <c r="K67" s="231"/>
      <c r="L67" s="238"/>
      <c r="M67" s="184">
        <f t="shared" ref="M67:M76" si="19">N67</f>
        <v>23.250166666666665</v>
      </c>
      <c r="N67" s="185">
        <f>(255110+10956+12936)/12000</f>
        <v>23.250166666666665</v>
      </c>
      <c r="O67" s="8"/>
      <c r="P67" s="8"/>
      <c r="Q67" s="8"/>
      <c r="R67" s="151"/>
      <c r="S67" s="184">
        <f t="shared" ref="S67:S76" si="20">T67</f>
        <v>23.440333333333335</v>
      </c>
      <c r="T67" s="185">
        <f>(257392+10956+12936)/12000</f>
        <v>23.440333333333335</v>
      </c>
      <c r="U67" s="8"/>
      <c r="V67" s="8"/>
      <c r="W67" s="8"/>
      <c r="X67" s="151"/>
      <c r="Y67" s="184">
        <f t="shared" ref="Y67:Y76" si="21">Z67</f>
        <v>23.218666666666667</v>
      </c>
      <c r="Z67" s="185">
        <f>(256448+9240+12936)/12000</f>
        <v>23.218666666666667</v>
      </c>
      <c r="AA67" s="8"/>
      <c r="AB67" s="8"/>
      <c r="AC67" s="8"/>
      <c r="AD67" s="151"/>
      <c r="AE67" s="256">
        <f t="shared" ref="AE67:AE76" si="22">AF67</f>
        <v>23.125333333333334</v>
      </c>
      <c r="AF67" s="257">
        <f>+(255328+9240+12936)/12000</f>
        <v>23.125333333333334</v>
      </c>
      <c r="AG67" s="231"/>
      <c r="AH67" s="231"/>
      <c r="AI67" s="231"/>
      <c r="AJ67" s="238"/>
      <c r="AK67" s="26" t="s">
        <v>304</v>
      </c>
    </row>
    <row r="68" spans="1:37" x14ac:dyDescent="0.2">
      <c r="B68" s="238">
        <v>66</v>
      </c>
      <c r="C68" s="190" t="str">
        <f>HLOOKUP(Auswahl!$A$2,$D$3:$E$199,$B68,FALSE)</f>
        <v>Poulettes d'élevage, coquelets</v>
      </c>
      <c r="D68" s="138" t="s">
        <v>184</v>
      </c>
      <c r="E68" s="138" t="s">
        <v>123</v>
      </c>
      <c r="F68" s="270">
        <f t="shared" ref="F68:F76" si="23">AVERAGE(Y68,M68,S68,AE68,G68)</f>
        <v>8.4265333333333334</v>
      </c>
      <c r="G68" s="256">
        <f t="shared" si="18"/>
        <v>8.6395</v>
      </c>
      <c r="H68" s="257">
        <f>(89761+6864+7049)/12000</f>
        <v>8.6395</v>
      </c>
      <c r="I68" s="231"/>
      <c r="J68" s="231"/>
      <c r="K68" s="231"/>
      <c r="L68" s="238"/>
      <c r="M68" s="184">
        <f t="shared" si="19"/>
        <v>8.027333333333333</v>
      </c>
      <c r="N68" s="185">
        <f>(82415+6864+7049)/12000</f>
        <v>8.027333333333333</v>
      </c>
      <c r="O68" s="8"/>
      <c r="P68" s="8"/>
      <c r="Q68" s="8"/>
      <c r="R68" s="151"/>
      <c r="S68" s="184">
        <f t="shared" si="20"/>
        <v>8.4314999999999998</v>
      </c>
      <c r="T68" s="185">
        <f>(87265+6864+7049)/12000</f>
        <v>8.4314999999999998</v>
      </c>
      <c r="U68" s="8"/>
      <c r="V68" s="8"/>
      <c r="W68" s="8"/>
      <c r="X68" s="151"/>
      <c r="Y68" s="184">
        <f t="shared" si="21"/>
        <v>8.511333333333333</v>
      </c>
      <c r="Z68" s="185">
        <f>(88223+6864+7049)/12000</f>
        <v>8.511333333333333</v>
      </c>
      <c r="AA68" s="8"/>
      <c r="AB68" s="8"/>
      <c r="AC68" s="8"/>
      <c r="AD68" s="151"/>
      <c r="AE68" s="256">
        <f t="shared" si="22"/>
        <v>8.5229999999999997</v>
      </c>
      <c r="AF68" s="257">
        <f>(88363+6864+7049)/12000</f>
        <v>8.5229999999999997</v>
      </c>
      <c r="AG68" s="231"/>
      <c r="AH68" s="231"/>
      <c r="AI68" s="231"/>
      <c r="AJ68" s="238"/>
      <c r="AK68" s="26" t="s">
        <v>303</v>
      </c>
    </row>
    <row r="69" spans="1:37" x14ac:dyDescent="0.2">
      <c r="B69" s="238">
        <v>67</v>
      </c>
      <c r="C69" s="190" t="str">
        <f>HLOOKUP(Auswahl!$A$2,$D$3:$E$199,$B69,FALSE)</f>
        <v>Poules d'élevage</v>
      </c>
      <c r="D69" s="138" t="s">
        <v>185</v>
      </c>
      <c r="E69" s="138" t="s">
        <v>124</v>
      </c>
      <c r="F69" s="270">
        <f t="shared" si="23"/>
        <v>0</v>
      </c>
      <c r="G69" s="256">
        <f t="shared" si="18"/>
        <v>0</v>
      </c>
      <c r="H69" s="268"/>
      <c r="I69" s="232"/>
      <c r="J69" s="232"/>
      <c r="K69" s="232"/>
      <c r="L69" s="260"/>
      <c r="M69" s="184">
        <f t="shared" si="19"/>
        <v>0</v>
      </c>
      <c r="N69" s="211"/>
      <c r="O69" s="9"/>
      <c r="P69" s="9"/>
      <c r="Q69" s="9"/>
      <c r="R69" s="199"/>
      <c r="S69" s="184">
        <f t="shared" si="20"/>
        <v>0</v>
      </c>
      <c r="T69" s="211"/>
      <c r="U69" s="9"/>
      <c r="V69" s="9"/>
      <c r="W69" s="9"/>
      <c r="X69" s="199"/>
      <c r="Y69" s="212">
        <f t="shared" si="21"/>
        <v>0</v>
      </c>
      <c r="Z69" s="211"/>
      <c r="AA69" s="9"/>
      <c r="AB69" s="9"/>
      <c r="AC69" s="9"/>
      <c r="AD69" s="199"/>
      <c r="AE69" s="269">
        <f t="shared" si="22"/>
        <v>0</v>
      </c>
      <c r="AF69" s="268"/>
      <c r="AG69" s="231"/>
      <c r="AH69" s="231"/>
      <c r="AI69" s="231"/>
      <c r="AJ69" s="238"/>
      <c r="AK69" s="26" t="s">
        <v>35</v>
      </c>
    </row>
    <row r="70" spans="1:37" x14ac:dyDescent="0.2">
      <c r="B70" s="238">
        <v>68</v>
      </c>
      <c r="C70" s="190" t="str">
        <f>HLOOKUP(Auswahl!$A$2,$D$3:$E$199,$B70,FALSE)</f>
        <v>Poulets d'engraissement (15 pl. /m2)</v>
      </c>
      <c r="D70" s="138" t="s">
        <v>345</v>
      </c>
      <c r="E70" s="138" t="s">
        <v>280</v>
      </c>
      <c r="F70" s="270">
        <f t="shared" si="23"/>
        <v>8.5619833333333339</v>
      </c>
      <c r="G70" s="256">
        <f t="shared" si="18"/>
        <v>9.0179166666666664</v>
      </c>
      <c r="H70" s="257">
        <f>(96940+6985+4290)/12000</f>
        <v>9.0179166666666664</v>
      </c>
      <c r="I70" s="231"/>
      <c r="J70" s="231"/>
      <c r="K70" s="231"/>
      <c r="L70" s="238"/>
      <c r="M70" s="184">
        <f t="shared" si="19"/>
        <v>8.3956666666666671</v>
      </c>
      <c r="N70" s="185">
        <f>(89473+6985+4290)/12000</f>
        <v>8.3956666666666671</v>
      </c>
      <c r="O70" s="8"/>
      <c r="P70" s="8"/>
      <c r="Q70" s="8"/>
      <c r="R70" s="151"/>
      <c r="S70" s="184">
        <f t="shared" si="20"/>
        <v>8.3773333333333326</v>
      </c>
      <c r="T70" s="185">
        <f>(89253+6985+4290)/12000</f>
        <v>8.3773333333333326</v>
      </c>
      <c r="U70" s="8"/>
      <c r="V70" s="8"/>
      <c r="W70" s="8"/>
      <c r="X70" s="151"/>
      <c r="Y70" s="184">
        <f t="shared" si="21"/>
        <v>8.5246666666666666</v>
      </c>
      <c r="Z70" s="185">
        <f>(91021+6985+4290)/12000</f>
        <v>8.5246666666666666</v>
      </c>
      <c r="AA70" s="8"/>
      <c r="AB70" s="8"/>
      <c r="AC70" s="8"/>
      <c r="AD70" s="151"/>
      <c r="AE70" s="256">
        <f t="shared" si="22"/>
        <v>8.4943333333333335</v>
      </c>
      <c r="AF70" s="257">
        <f>(90657+6985+4290)/12000</f>
        <v>8.4943333333333335</v>
      </c>
      <c r="AG70" s="231"/>
      <c r="AH70" s="231"/>
      <c r="AI70" s="231"/>
      <c r="AJ70" s="238"/>
      <c r="AK70" s="8" t="s">
        <v>302</v>
      </c>
    </row>
    <row r="71" spans="1:37" x14ac:dyDescent="0.2">
      <c r="B71" s="238">
        <v>69</v>
      </c>
      <c r="C71" s="190" t="str">
        <f>HLOOKUP(Auswahl!$A$2,$D$3:$E$199,$B71,FALSE)</f>
        <v>Dindes d'élevage (12 pl. /m2)</v>
      </c>
      <c r="D71" s="138" t="s">
        <v>193</v>
      </c>
      <c r="E71" s="138" t="s">
        <v>281</v>
      </c>
      <c r="F71" s="270">
        <f t="shared" si="23"/>
        <v>0</v>
      </c>
      <c r="G71" s="239">
        <f t="shared" si="18"/>
        <v>0</v>
      </c>
      <c r="H71" s="252"/>
      <c r="I71" s="231"/>
      <c r="J71" s="231"/>
      <c r="K71" s="231"/>
      <c r="L71" s="238"/>
      <c r="M71" s="155">
        <f t="shared" si="19"/>
        <v>0</v>
      </c>
      <c r="N71" s="172"/>
      <c r="O71" s="8"/>
      <c r="P71" s="8"/>
      <c r="Q71" s="8"/>
      <c r="R71" s="151"/>
      <c r="S71" s="155">
        <f t="shared" si="20"/>
        <v>0</v>
      </c>
      <c r="T71" s="172"/>
      <c r="U71" s="8"/>
      <c r="V71" s="8"/>
      <c r="W71" s="8"/>
      <c r="X71" s="151"/>
      <c r="Y71" s="155">
        <f t="shared" si="21"/>
        <v>0</v>
      </c>
      <c r="Z71" s="172"/>
      <c r="AA71" s="8"/>
      <c r="AB71" s="8"/>
      <c r="AC71" s="8"/>
      <c r="AD71" s="151"/>
      <c r="AE71" s="239">
        <f t="shared" si="22"/>
        <v>0</v>
      </c>
      <c r="AF71" s="252"/>
      <c r="AG71" s="231"/>
      <c r="AH71" s="231"/>
      <c r="AI71" s="231"/>
      <c r="AJ71" s="238"/>
      <c r="AK71" s="26" t="s">
        <v>35</v>
      </c>
    </row>
    <row r="72" spans="1:37" x14ac:dyDescent="0.2">
      <c r="B72" s="238">
        <v>70</v>
      </c>
      <c r="C72" s="190" t="str">
        <f>HLOOKUP(Auswahl!$A$2,$D$3:$E$199,$B72,FALSE)</f>
        <v>Dindes d'engraissement (4 pl. / m2)</v>
      </c>
      <c r="D72" s="138" t="s">
        <v>194</v>
      </c>
      <c r="E72" s="138" t="s">
        <v>282</v>
      </c>
      <c r="F72" s="270">
        <f t="shared" si="23"/>
        <v>0</v>
      </c>
      <c r="G72" s="239">
        <f t="shared" si="18"/>
        <v>0</v>
      </c>
      <c r="H72" s="252"/>
      <c r="I72" s="231"/>
      <c r="J72" s="231"/>
      <c r="K72" s="231"/>
      <c r="L72" s="238"/>
      <c r="M72" s="155">
        <f t="shared" si="19"/>
        <v>0</v>
      </c>
      <c r="N72" s="172"/>
      <c r="O72" s="8"/>
      <c r="P72" s="8"/>
      <c r="Q72" s="8"/>
      <c r="R72" s="151"/>
      <c r="S72" s="155">
        <f t="shared" si="20"/>
        <v>0</v>
      </c>
      <c r="T72" s="172"/>
      <c r="U72" s="8"/>
      <c r="V72" s="8"/>
      <c r="W72" s="8"/>
      <c r="X72" s="151"/>
      <c r="Y72" s="155">
        <f t="shared" si="21"/>
        <v>0</v>
      </c>
      <c r="Z72" s="172"/>
      <c r="AA72" s="8"/>
      <c r="AB72" s="8"/>
      <c r="AC72" s="8"/>
      <c r="AD72" s="151"/>
      <c r="AE72" s="239">
        <f t="shared" si="22"/>
        <v>0</v>
      </c>
      <c r="AF72" s="252"/>
      <c r="AG72" s="231"/>
      <c r="AH72" s="231"/>
      <c r="AI72" s="231"/>
      <c r="AJ72" s="238"/>
      <c r="AK72" s="26" t="s">
        <v>35</v>
      </c>
    </row>
    <row r="73" spans="1:37" x14ac:dyDescent="0.2">
      <c r="B73" s="238">
        <v>71</v>
      </c>
      <c r="C73" s="190" t="str">
        <f>HLOOKUP(Auswahl!$A$2,$D$3:$E$199,$B73,FALSE)</f>
        <v>Dindes (tout âge)</v>
      </c>
      <c r="D73" s="138" t="s">
        <v>283</v>
      </c>
      <c r="E73" s="138" t="s">
        <v>97</v>
      </c>
      <c r="F73" s="270">
        <f t="shared" si="23"/>
        <v>0</v>
      </c>
      <c r="G73" s="239">
        <f t="shared" si="18"/>
        <v>0</v>
      </c>
      <c r="H73" s="252"/>
      <c r="I73" s="231"/>
      <c r="J73" s="231"/>
      <c r="K73" s="231"/>
      <c r="L73" s="238"/>
      <c r="M73" s="155">
        <f t="shared" si="19"/>
        <v>0</v>
      </c>
      <c r="N73" s="172"/>
      <c r="O73" s="8"/>
      <c r="P73" s="8"/>
      <c r="Q73" s="8"/>
      <c r="R73" s="151"/>
      <c r="S73" s="155">
        <f t="shared" si="20"/>
        <v>0</v>
      </c>
      <c r="T73" s="172"/>
      <c r="U73" s="8"/>
      <c r="V73" s="8"/>
      <c r="W73" s="8"/>
      <c r="X73" s="151"/>
      <c r="Y73" s="155">
        <f t="shared" si="21"/>
        <v>0</v>
      </c>
      <c r="Z73" s="172"/>
      <c r="AA73" s="8"/>
      <c r="AB73" s="8"/>
      <c r="AC73" s="8"/>
      <c r="AD73" s="151"/>
      <c r="AE73" s="239">
        <f t="shared" si="22"/>
        <v>0</v>
      </c>
      <c r="AF73" s="252"/>
      <c r="AG73" s="231"/>
      <c r="AH73" s="231"/>
      <c r="AI73" s="231"/>
      <c r="AJ73" s="238"/>
      <c r="AK73" s="26" t="s">
        <v>35</v>
      </c>
    </row>
    <row r="74" spans="1:37" x14ac:dyDescent="0.2">
      <c r="B74" s="238">
        <v>72</v>
      </c>
      <c r="C74" s="190" t="str">
        <f>HLOOKUP(Auswahl!$A$2,$D$3:$E$199,$B74,FALSE)</f>
        <v>Poissons (par tonne et année)</v>
      </c>
      <c r="D74" s="138" t="s">
        <v>186</v>
      </c>
      <c r="E74" s="138" t="s">
        <v>122</v>
      </c>
      <c r="F74" s="270">
        <f t="shared" si="23"/>
        <v>0</v>
      </c>
      <c r="G74" s="239">
        <f t="shared" si="18"/>
        <v>0</v>
      </c>
      <c r="H74" s="252"/>
      <c r="I74" s="231"/>
      <c r="J74" s="231"/>
      <c r="K74" s="231"/>
      <c r="L74" s="238"/>
      <c r="M74" s="155">
        <f t="shared" si="19"/>
        <v>0</v>
      </c>
      <c r="N74" s="172"/>
      <c r="O74" s="8"/>
      <c r="P74" s="8"/>
      <c r="Q74" s="8"/>
      <c r="R74" s="151"/>
      <c r="S74" s="155">
        <f t="shared" si="20"/>
        <v>0</v>
      </c>
      <c r="T74" s="172"/>
      <c r="U74" s="8"/>
      <c r="V74" s="8"/>
      <c r="W74" s="8"/>
      <c r="X74" s="151"/>
      <c r="Y74" s="155">
        <f t="shared" si="21"/>
        <v>0</v>
      </c>
      <c r="Z74" s="172"/>
      <c r="AA74" s="8"/>
      <c r="AB74" s="8"/>
      <c r="AC74" s="8"/>
      <c r="AD74" s="151"/>
      <c r="AE74" s="239">
        <f t="shared" si="22"/>
        <v>0</v>
      </c>
      <c r="AF74" s="252"/>
      <c r="AG74" s="231"/>
      <c r="AH74" s="231"/>
      <c r="AI74" s="231"/>
      <c r="AJ74" s="238"/>
      <c r="AK74" s="26" t="s">
        <v>35</v>
      </c>
    </row>
    <row r="75" spans="1:37" x14ac:dyDescent="0.2">
      <c r="B75" s="238">
        <v>73</v>
      </c>
      <c r="C75" s="190" t="str">
        <f>HLOOKUP(Auswahl!$A$2,$D$3:$E$199,$B75,FALSE)</f>
        <v>Lapines y c. lapereaux</v>
      </c>
      <c r="D75" s="138" t="s">
        <v>187</v>
      </c>
      <c r="E75" s="138" t="s">
        <v>195</v>
      </c>
      <c r="F75" s="270">
        <f t="shared" si="23"/>
        <v>0</v>
      </c>
      <c r="G75" s="239">
        <f t="shared" si="18"/>
        <v>0</v>
      </c>
      <c r="H75" s="252"/>
      <c r="I75" s="231"/>
      <c r="J75" s="231"/>
      <c r="K75" s="231"/>
      <c r="L75" s="238"/>
      <c r="M75" s="155">
        <f t="shared" si="19"/>
        <v>0</v>
      </c>
      <c r="N75" s="172"/>
      <c r="O75" s="8"/>
      <c r="P75" s="8"/>
      <c r="Q75" s="8"/>
      <c r="R75" s="151"/>
      <c r="S75" s="155">
        <f t="shared" si="20"/>
        <v>0</v>
      </c>
      <c r="T75" s="172"/>
      <c r="U75" s="8"/>
      <c r="V75" s="8"/>
      <c r="W75" s="8"/>
      <c r="X75" s="151"/>
      <c r="Y75" s="155">
        <f t="shared" si="21"/>
        <v>0</v>
      </c>
      <c r="Z75" s="172"/>
      <c r="AA75" s="8"/>
      <c r="AB75" s="8"/>
      <c r="AC75" s="8"/>
      <c r="AD75" s="151"/>
      <c r="AE75" s="239">
        <f t="shared" si="22"/>
        <v>0</v>
      </c>
      <c r="AF75" s="252"/>
      <c r="AG75" s="231"/>
      <c r="AH75" s="231"/>
      <c r="AI75" s="231"/>
      <c r="AJ75" s="238"/>
      <c r="AK75" s="26" t="s">
        <v>35</v>
      </c>
    </row>
    <row r="76" spans="1:37" x14ac:dyDescent="0.2">
      <c r="B76" s="238">
        <v>74</v>
      </c>
      <c r="C76" s="190" t="str">
        <f>HLOOKUP(Auswahl!$A$2,$D$3:$E$199,$B76,FALSE)</f>
        <v>Lapins d'engraissement</v>
      </c>
      <c r="D76" s="138" t="s">
        <v>188</v>
      </c>
      <c r="E76" s="138" t="s">
        <v>98</v>
      </c>
      <c r="F76" s="270">
        <f t="shared" si="23"/>
        <v>0</v>
      </c>
      <c r="G76" s="239">
        <f t="shared" si="18"/>
        <v>0</v>
      </c>
      <c r="H76" s="252"/>
      <c r="I76" s="231"/>
      <c r="J76" s="231"/>
      <c r="K76" s="231"/>
      <c r="L76" s="238"/>
      <c r="M76" s="155">
        <f t="shared" si="19"/>
        <v>0</v>
      </c>
      <c r="N76" s="172"/>
      <c r="O76" s="8"/>
      <c r="P76" s="8"/>
      <c r="Q76" s="8"/>
      <c r="R76" s="151"/>
      <c r="S76" s="155">
        <f t="shared" si="20"/>
        <v>0</v>
      </c>
      <c r="T76" s="172"/>
      <c r="U76" s="8"/>
      <c r="V76" s="8"/>
      <c r="W76" s="8"/>
      <c r="X76" s="151"/>
      <c r="Y76" s="155">
        <f t="shared" si="21"/>
        <v>0</v>
      </c>
      <c r="Z76" s="172"/>
      <c r="AA76" s="8"/>
      <c r="AB76" s="8"/>
      <c r="AC76" s="8"/>
      <c r="AD76" s="151"/>
      <c r="AE76" s="239">
        <f t="shared" si="22"/>
        <v>0</v>
      </c>
      <c r="AF76" s="252"/>
      <c r="AG76" s="231"/>
      <c r="AH76" s="231"/>
      <c r="AI76" s="231"/>
      <c r="AJ76" s="238"/>
      <c r="AK76" s="26" t="s">
        <v>35</v>
      </c>
    </row>
    <row r="77" spans="1:37" ht="15" x14ac:dyDescent="0.25">
      <c r="B77" s="238">
        <v>75</v>
      </c>
      <c r="C77" s="190" t="str">
        <f>HLOOKUP(Auswahl!$A$2,$D$3:$E$199,$B77,FALSE)</f>
        <v>Total</v>
      </c>
      <c r="D77" s="142" t="s">
        <v>137</v>
      </c>
      <c r="E77" s="142" t="s">
        <v>137</v>
      </c>
      <c r="AE77" s="229"/>
      <c r="AF77" s="229"/>
      <c r="AG77" s="229"/>
      <c r="AH77" s="229"/>
      <c r="AI77" s="229"/>
      <c r="AJ77" s="229"/>
    </row>
    <row r="78" spans="1:37" ht="15" x14ac:dyDescent="0.25">
      <c r="B78" s="238">
        <v>76</v>
      </c>
      <c r="C78" s="190" t="str">
        <f>HLOOKUP(Auswahl!$A$2,$D$3:$E$199,$B78,FALSE)</f>
        <v>dt MS</v>
      </c>
      <c r="D78" s="143" t="s">
        <v>4</v>
      </c>
      <c r="E78" s="143" t="s">
        <v>276</v>
      </c>
      <c r="AE78" s="229"/>
      <c r="AF78" s="229"/>
      <c r="AG78" s="229"/>
      <c r="AH78" s="229"/>
      <c r="AI78" s="229"/>
      <c r="AJ78" s="229"/>
    </row>
    <row r="79" spans="1:37" s="73" customFormat="1" x14ac:dyDescent="0.2">
      <c r="A79" s="230"/>
      <c r="B79" s="238">
        <v>77</v>
      </c>
      <c r="C79" s="190" t="str">
        <f>HLOOKUP(Auswahl!$A$2,$D$3:$E$199,$B79,FALSE)</f>
        <v>Comparaison des MB</v>
      </c>
      <c r="D79" s="224" t="s">
        <v>358</v>
      </c>
      <c r="E79" s="224" t="s">
        <v>364</v>
      </c>
      <c r="F79" s="193"/>
      <c r="G79" s="11"/>
      <c r="H79" s="230"/>
      <c r="I79" s="230"/>
      <c r="J79" s="230"/>
      <c r="K79" s="230"/>
      <c r="L79" s="230"/>
      <c r="M79" s="11"/>
      <c r="S79" s="11"/>
      <c r="Y79" s="11"/>
      <c r="AE79" s="230"/>
      <c r="AF79" s="230"/>
      <c r="AG79" s="230"/>
      <c r="AH79" s="230"/>
      <c r="AI79" s="230"/>
      <c r="AJ79" s="230"/>
    </row>
    <row r="80" spans="1:37" ht="15" x14ac:dyDescent="0.25">
      <c r="B80" s="238">
        <v>78</v>
      </c>
      <c r="C80" s="190" t="str">
        <f>HLOOKUP(Auswahl!$A$2,$D$3:$E$199,$B80,FALSE)</f>
        <v>Résultats</v>
      </c>
      <c r="D80" s="144" t="s">
        <v>231</v>
      </c>
      <c r="E80" s="144" t="s">
        <v>232</v>
      </c>
      <c r="AE80" s="229"/>
      <c r="AF80" s="229"/>
      <c r="AG80" s="229"/>
      <c r="AH80" s="229"/>
      <c r="AI80" s="229"/>
      <c r="AJ80" s="229"/>
    </row>
    <row r="81" spans="1:36" ht="15" x14ac:dyDescent="0.25">
      <c r="B81" s="238">
        <v>79</v>
      </c>
      <c r="C81" s="190" t="str">
        <f>HLOOKUP(Auswahl!$A$2,$D$3:$E$199,$B81,FALSE)</f>
        <v>Le critère est rempli, car la marge brute des productions dépendantes du sol est supérieure à la marge brute des productions indépendantes du sol.</v>
      </c>
      <c r="D81" s="140" t="s">
        <v>249</v>
      </c>
      <c r="E81" s="138" t="s">
        <v>258</v>
      </c>
      <c r="AE81" s="229"/>
      <c r="AF81" s="229"/>
      <c r="AG81" s="229"/>
      <c r="AH81" s="229"/>
      <c r="AI81" s="229"/>
      <c r="AJ81" s="229"/>
    </row>
    <row r="82" spans="1:36" ht="15" x14ac:dyDescent="0.25">
      <c r="B82" s="238">
        <v>80</v>
      </c>
      <c r="C82" s="190" t="str">
        <f>HLOOKUP(Auswahl!$A$2,$D$3:$E$199,$B82,FALSE)</f>
        <v>Tributaire du sol</v>
      </c>
      <c r="D82" s="138" t="s">
        <v>196</v>
      </c>
      <c r="E82" s="138" t="s">
        <v>198</v>
      </c>
      <c r="AE82" s="229"/>
      <c r="AF82" s="229"/>
      <c r="AG82" s="229"/>
      <c r="AH82" s="229"/>
      <c r="AI82" s="229"/>
      <c r="AJ82" s="229"/>
    </row>
    <row r="83" spans="1:36" x14ac:dyDescent="0.2">
      <c r="B83" s="238">
        <v>81</v>
      </c>
      <c r="C83" s="190" t="str">
        <f>HLOOKUP(Auswahl!$A$2,$D$3:$E$199,$B83,FALSE)</f>
        <v>Hors sol</v>
      </c>
      <c r="D83" s="138" t="s">
        <v>197</v>
      </c>
      <c r="E83" s="138" t="s">
        <v>199</v>
      </c>
    </row>
    <row r="84" spans="1:36" x14ac:dyDescent="0.2">
      <c r="B84" s="238">
        <v>82</v>
      </c>
      <c r="C84" s="190" t="str">
        <f>HLOOKUP(Auswahl!$A$2,$D$3:$E$199,$B84,FALSE)</f>
        <v>Part de la MB tributaire du sol sur la MB totale</v>
      </c>
      <c r="D84" s="138" t="s">
        <v>352</v>
      </c>
      <c r="E84" s="138" t="s">
        <v>275</v>
      </c>
    </row>
    <row r="85" spans="1:36" x14ac:dyDescent="0.2">
      <c r="B85" s="238">
        <v>83</v>
      </c>
      <c r="C85" s="190" t="str">
        <f>HLOOKUP(Auswahl!$A$2,$D$3:$E$199,$B85,FALSE)</f>
        <v>MB en frs.</v>
      </c>
      <c r="D85" s="138" t="s">
        <v>238</v>
      </c>
      <c r="E85" s="138" t="s">
        <v>239</v>
      </c>
    </row>
    <row r="86" spans="1:36" x14ac:dyDescent="0.2">
      <c r="B86" s="238">
        <v>84</v>
      </c>
      <c r="C86" s="190" t="str">
        <f>HLOOKUP(Auswahl!$A$2,$D$3:$E$199,$B86,FALSE)</f>
        <v>Le critère est rempli, car le taux de couverture des besoins en matière sèche est supérieur à 70%. Le critère de la marge brute n'est pas déterminant dans le cas précis.</v>
      </c>
      <c r="D86" s="140" t="s">
        <v>346</v>
      </c>
      <c r="E86" s="138" t="s">
        <v>347</v>
      </c>
    </row>
    <row r="87" spans="1:36" x14ac:dyDescent="0.2">
      <c r="B87" s="238">
        <v>85</v>
      </c>
      <c r="C87" s="190" t="str">
        <f>HLOOKUP(Auswahl!$A$2,$D$3:$E$199,$B87,FALSE)</f>
        <v>Le critère n'est pas rempli, car le taux de couverture des besoins en matière sèche est inférieur à 50%.</v>
      </c>
      <c r="D87" s="140" t="s">
        <v>250</v>
      </c>
      <c r="E87" s="138" t="s">
        <v>259</v>
      </c>
    </row>
    <row r="88" spans="1:36" x14ac:dyDescent="0.2">
      <c r="B88" s="238">
        <v>86</v>
      </c>
      <c r="C88" s="190" t="str">
        <f>HLOOKUP(Auswahl!$A$2,$D$3:$E$199,$B88,FALSE)</f>
        <v>Bilan de la MS</v>
      </c>
      <c r="D88" s="138" t="s">
        <v>25</v>
      </c>
      <c r="E88" s="225" t="s">
        <v>365</v>
      </c>
    </row>
    <row r="89" spans="1:36" x14ac:dyDescent="0.2">
      <c r="B89" s="238">
        <v>87</v>
      </c>
      <c r="C89" s="190" t="str">
        <f>HLOOKUP(Auswahl!$A$2,$D$3:$E$199,$B89,FALSE)</f>
        <v>Besoin total y c. développement interne</v>
      </c>
      <c r="D89" s="138" t="s">
        <v>213</v>
      </c>
      <c r="E89" s="138" t="s">
        <v>110</v>
      </c>
    </row>
    <row r="90" spans="1:36" x14ac:dyDescent="0.2">
      <c r="B90" s="238">
        <v>88</v>
      </c>
      <c r="C90" s="190" t="str">
        <f>HLOOKUP(Auswahl!$A$2,$D$3:$E$199,$B90,FALSE)</f>
        <v>Potentiel de MS</v>
      </c>
      <c r="D90" s="138" t="s">
        <v>212</v>
      </c>
      <c r="E90" s="225" t="s">
        <v>366</v>
      </c>
    </row>
    <row r="91" spans="1:36" x14ac:dyDescent="0.2">
      <c r="B91" s="238">
        <v>89</v>
      </c>
      <c r="C91" s="190" t="str">
        <f>HLOOKUP(Auswahl!$A$2,$D$3:$E$199,$B91,FALSE)</f>
        <v>Taux de couverture MS</v>
      </c>
      <c r="D91" s="138" t="s">
        <v>211</v>
      </c>
      <c r="E91" s="225" t="s">
        <v>367</v>
      </c>
    </row>
    <row r="92" spans="1:36" x14ac:dyDescent="0.2">
      <c r="B92" s="238">
        <v>90</v>
      </c>
      <c r="C92" s="190" t="str">
        <f>HLOOKUP(Auswahl!$A$2,$D$3:$E$199,$B92,FALSE)</f>
        <v>Le taux de couverture des besoins en matière sèche se situant entre 50 et 70%, la comparaison des marges brutes des productions dépendantes et indépendantes du sol doit être effectuée.</v>
      </c>
      <c r="D92" s="138" t="s">
        <v>218</v>
      </c>
      <c r="E92" s="138" t="s">
        <v>217</v>
      </c>
    </row>
    <row r="93" spans="1:36" x14ac:dyDescent="0.2">
      <c r="B93" s="238">
        <v>91</v>
      </c>
      <c r="C93" s="190" t="str">
        <f>HLOOKUP(Auswahl!$A$2,$D$3:$E$199,$B93,FALSE)</f>
        <v>Le critère n'est pas rempli, car la marge brute des productions dépendantes du sol est inférieur à la marge brute des productions indépendantes du sol.</v>
      </c>
      <c r="D93" s="138" t="s">
        <v>260</v>
      </c>
      <c r="E93" s="138" t="s">
        <v>261</v>
      </c>
    </row>
    <row r="94" spans="1:36" s="73" customFormat="1" x14ac:dyDescent="0.2">
      <c r="A94" s="230"/>
      <c r="B94" s="238">
        <v>92</v>
      </c>
      <c r="C94" s="190">
        <f>HLOOKUP(Auswahl!$A$2,$D$3:$E$199,$B94,FALSE)</f>
        <v>0</v>
      </c>
      <c r="D94" s="138"/>
      <c r="E94" s="138"/>
      <c r="F94" s="193"/>
      <c r="G94" s="11"/>
      <c r="H94" s="230"/>
      <c r="I94" s="230"/>
      <c r="J94" s="230"/>
      <c r="K94" s="230"/>
      <c r="L94" s="230"/>
      <c r="M94" s="11"/>
      <c r="S94" s="11"/>
      <c r="Y94" s="11"/>
    </row>
    <row r="95" spans="1:36" x14ac:dyDescent="0.2">
      <c r="B95" s="238">
        <v>93</v>
      </c>
      <c r="C95" s="190" t="str">
        <f>HLOOKUP(Auswahl!$A$2,$D$3:$E$199,$B95,FALSE)</f>
        <v>Titel</v>
      </c>
      <c r="D95" s="145" t="s">
        <v>105</v>
      </c>
      <c r="E95" s="145"/>
    </row>
    <row r="96" spans="1:36" x14ac:dyDescent="0.2">
      <c r="B96" s="238">
        <v>94</v>
      </c>
      <c r="C96" s="190" t="s">
        <v>416</v>
      </c>
      <c r="D96" s="138" t="s">
        <v>416</v>
      </c>
      <c r="E96" s="138" t="s">
        <v>416</v>
      </c>
    </row>
    <row r="97" spans="2:5" ht="178.5" x14ac:dyDescent="0.2">
      <c r="B97" s="238">
        <v>95</v>
      </c>
      <c r="C97" s="190" t="str">
        <f>HLOOKUP(Auswahl!$A$2,$D$3:$E$199,$B97,FALSE)</f>
        <v>Développement interne dans le domaine de la garde des animaux de rente
Calculation "marge brute / matière sèche" selon art. 36 OAT</v>
      </c>
      <c r="D97" s="147" t="s">
        <v>350</v>
      </c>
      <c r="E97" s="147" t="s">
        <v>351</v>
      </c>
    </row>
    <row r="98" spans="2:5" x14ac:dyDescent="0.2">
      <c r="B98" s="238">
        <v>96</v>
      </c>
      <c r="C98" s="190" t="str">
        <f>HLOOKUP(Auswahl!$A$2,$D$3:$E$199,$B98,FALSE)</f>
        <v>Forme d'exploitation:</v>
      </c>
      <c r="D98" s="138" t="s">
        <v>294</v>
      </c>
      <c r="E98" s="138" t="s">
        <v>295</v>
      </c>
    </row>
    <row r="99" spans="2:5" x14ac:dyDescent="0.2">
      <c r="B99" s="238">
        <v>97</v>
      </c>
      <c r="C99" s="190" t="str">
        <f>HLOOKUP(Auswahl!$A$2,$D$3:$E$199,$B99,FALSE)</f>
        <v>Tél mobile:</v>
      </c>
      <c r="D99" s="138" t="s">
        <v>286</v>
      </c>
      <c r="E99" s="138" t="s">
        <v>287</v>
      </c>
    </row>
    <row r="100" spans="2:5" x14ac:dyDescent="0.2">
      <c r="B100" s="238">
        <v>98</v>
      </c>
      <c r="C100" s="190" t="str">
        <f>HLOOKUP(Auswahl!$A$2,$D$3:$E$199,$B100,FALSE)</f>
        <v>Altitude:</v>
      </c>
      <c r="D100" s="138" t="s">
        <v>200</v>
      </c>
      <c r="E100" s="138" t="s">
        <v>135</v>
      </c>
    </row>
    <row r="101" spans="2:5" x14ac:dyDescent="0.2">
      <c r="B101" s="238">
        <v>99</v>
      </c>
      <c r="C101" s="190" t="str">
        <f>HLOOKUP(Auswahl!$A$2,$D$3:$E$199,$B101,FALSE)</f>
        <v>No. Exploit.:</v>
      </c>
      <c r="D101" s="138" t="s">
        <v>201</v>
      </c>
      <c r="E101" s="138" t="s">
        <v>103</v>
      </c>
    </row>
    <row r="102" spans="2:5" x14ac:dyDescent="0.2">
      <c r="B102" s="238">
        <v>100</v>
      </c>
      <c r="C102" s="190">
        <f>HLOOKUP(Auswahl!$A$2,$D$3:$E$199,$B102,FALSE)</f>
        <v>0</v>
      </c>
      <c r="D102" s="138"/>
      <c r="E102" s="138"/>
    </row>
    <row r="103" spans="2:5" x14ac:dyDescent="0.2">
      <c r="B103" s="238">
        <v>101</v>
      </c>
      <c r="C103" s="190" t="str">
        <f>HLOOKUP(Auswahl!$A$2,$D$3:$E$199,$B103,FALSE)</f>
        <v>NP / localité:</v>
      </c>
      <c r="D103" s="138" t="s">
        <v>353</v>
      </c>
      <c r="E103" s="138" t="s">
        <v>290</v>
      </c>
    </row>
    <row r="104" spans="2:5" x14ac:dyDescent="0.2">
      <c r="B104" s="238">
        <v>102</v>
      </c>
      <c r="C104" s="190" t="str">
        <f>HLOOKUP(Auswahl!$A$2,$D$3:$E$199,$B104,FALSE)</f>
        <v>Courriel:</v>
      </c>
      <c r="D104" s="138" t="s">
        <v>202</v>
      </c>
      <c r="E104" s="138" t="s">
        <v>291</v>
      </c>
    </row>
    <row r="105" spans="2:5" x14ac:dyDescent="0.2">
      <c r="B105" s="238">
        <v>103</v>
      </c>
      <c r="C105" s="190" t="str">
        <f>HLOOKUP(Auswahl!$A$2,$D$3:$E$199,$B105,FALSE)</f>
        <v>Zone prépon.:</v>
      </c>
      <c r="D105" s="138" t="s">
        <v>203</v>
      </c>
      <c r="E105" s="138" t="s">
        <v>292</v>
      </c>
    </row>
    <row r="106" spans="2:5" x14ac:dyDescent="0.2">
      <c r="B106" s="238">
        <v>104</v>
      </c>
      <c r="C106" s="190" t="str">
        <f>HLOOKUP(Auswahl!$A$2,$D$3:$E$199,$B106,FALSE)</f>
        <v>Nom, prénom:</v>
      </c>
      <c r="D106" s="138" t="s">
        <v>288</v>
      </c>
      <c r="E106" s="138" t="s">
        <v>293</v>
      </c>
    </row>
    <row r="107" spans="2:5" x14ac:dyDescent="0.2">
      <c r="B107" s="238">
        <v>105</v>
      </c>
      <c r="C107" s="190" t="str">
        <f>HLOOKUP(Auswahl!$A$2,$D$3:$E$199,$B107,FALSE)</f>
        <v>Ferme / rue:</v>
      </c>
      <c r="D107" s="138" t="s">
        <v>289</v>
      </c>
      <c r="E107" s="138" t="s">
        <v>102</v>
      </c>
    </row>
    <row r="108" spans="2:5" x14ac:dyDescent="0.2">
      <c r="B108" s="238">
        <v>106</v>
      </c>
      <c r="C108" s="190" t="str">
        <f>HLOOKUP(Auswahl!$A$2,$D$3:$E$199,$B108,FALSE)</f>
        <v>Auteur: Grangeneuve</v>
      </c>
      <c r="D108" s="138" t="s">
        <v>417</v>
      </c>
      <c r="E108" s="138" t="s">
        <v>418</v>
      </c>
    </row>
    <row r="109" spans="2:5" x14ac:dyDescent="0.2">
      <c r="B109" s="238">
        <v>107</v>
      </c>
      <c r="C109" s="190" t="str">
        <f>HLOOKUP(Auswahl!$A$2,$D$3:$E$199,$B109,FALSE)</f>
        <v>Valable: version provisoire</v>
      </c>
      <c r="D109" s="138" t="s">
        <v>16</v>
      </c>
      <c r="E109" s="138" t="s">
        <v>236</v>
      </c>
    </row>
    <row r="110" spans="2:5" x14ac:dyDescent="0.2">
      <c r="B110" s="238">
        <v>108</v>
      </c>
      <c r="C110" s="190" t="str">
        <f>HLOOKUP(Auswahl!$A$2,$D$3:$E$199,$B110,FALSE)</f>
        <v>MB / unité</v>
      </c>
      <c r="D110" s="138" t="s">
        <v>106</v>
      </c>
      <c r="E110" s="138" t="s">
        <v>154</v>
      </c>
    </row>
    <row r="111" spans="2:5" x14ac:dyDescent="0.2">
      <c r="B111" s="238">
        <v>109</v>
      </c>
      <c r="C111" s="190" t="str">
        <f>HLOOKUP(Auswahl!$A$2,$D$3:$E$199,$B111,FALSE)</f>
        <v>MB totale</v>
      </c>
      <c r="D111" s="138" t="s">
        <v>1</v>
      </c>
      <c r="E111" s="138" t="s">
        <v>107</v>
      </c>
    </row>
    <row r="112" spans="2:5" x14ac:dyDescent="0.2">
      <c r="B112" s="238">
        <v>110</v>
      </c>
      <c r="C112" s="190" t="str">
        <f>HLOOKUP(Auswahl!$A$2,$D$3:$E$199,$B112,FALSE)</f>
        <v>Potentiel en MS par unité</v>
      </c>
      <c r="D112" s="138" t="s">
        <v>204</v>
      </c>
      <c r="E112" s="138" t="s">
        <v>153</v>
      </c>
    </row>
    <row r="113" spans="2:5" x14ac:dyDescent="0.2">
      <c r="B113" s="238">
        <v>111</v>
      </c>
      <c r="C113" s="190" t="str">
        <f>HLOOKUP(Auswahl!$A$2,$D$3:$E$199,$B113,FALSE)</f>
        <v>dt MS / ha</v>
      </c>
      <c r="D113" s="138" t="s">
        <v>338</v>
      </c>
      <c r="E113" s="138" t="s">
        <v>155</v>
      </c>
    </row>
    <row r="114" spans="2:5" x14ac:dyDescent="0.2">
      <c r="B114" s="238">
        <v>112</v>
      </c>
      <c r="C114" s="190" t="str">
        <f>HLOOKUP(Auswahl!$A$2,$D$3:$E$199,$B114,FALSE)</f>
        <v xml:space="preserve">dt MS </v>
      </c>
      <c r="D114" s="138" t="s">
        <v>337</v>
      </c>
      <c r="E114" s="138" t="s">
        <v>156</v>
      </c>
    </row>
    <row r="115" spans="2:5" x14ac:dyDescent="0.2">
      <c r="B115" s="238">
        <v>113</v>
      </c>
      <c r="C115" s="190" t="str">
        <f>HLOOKUP(Auswahl!$A$2,$D$3:$E$199,$B115,FALSE)</f>
        <v>Potentiel total en MS</v>
      </c>
      <c r="D115" s="138" t="s">
        <v>339</v>
      </c>
      <c r="E115" s="138" t="s">
        <v>136</v>
      </c>
    </row>
    <row r="116" spans="2:5" x14ac:dyDescent="0.2">
      <c r="B116" s="238">
        <v>114</v>
      </c>
      <c r="C116" s="190" t="str">
        <f>HLOOKUP(Auswahl!$A$2,$D$3:$E$199,$B116,FALSE)</f>
        <v>Places</v>
      </c>
      <c r="D116" s="138" t="s">
        <v>205</v>
      </c>
      <c r="E116" s="138" t="s">
        <v>206</v>
      </c>
    </row>
    <row r="117" spans="2:5" x14ac:dyDescent="0.2">
      <c r="B117" s="238">
        <v>115</v>
      </c>
      <c r="C117" s="190" t="str">
        <f>HLOOKUP(Auswahl!$A$2,$D$3:$E$199,$B117,FALSE)</f>
        <v>Besoin en MS total</v>
      </c>
      <c r="D117" s="138" t="s">
        <v>220</v>
      </c>
      <c r="E117" s="138" t="s">
        <v>221</v>
      </c>
    </row>
    <row r="118" spans="2:5" x14ac:dyDescent="0.2">
      <c r="B118" s="238">
        <v>116</v>
      </c>
      <c r="C118" s="190" t="str">
        <f>HLOOKUP(Auswahl!$A$2,$D$3:$E$199,$B118,FALSE)</f>
        <v>Consomation de fourrage de base</v>
      </c>
      <c r="D118" s="138" t="s">
        <v>207</v>
      </c>
      <c r="E118" s="138" t="s">
        <v>109</v>
      </c>
    </row>
    <row r="119" spans="2:5" x14ac:dyDescent="0.2">
      <c r="B119" s="238">
        <v>117</v>
      </c>
      <c r="C119" s="190" t="str">
        <f>HLOOKUP(Auswahl!$A$2,$D$3:$E$199,$B119,FALSE)</f>
        <v>Nombres*</v>
      </c>
      <c r="D119" s="138" t="s">
        <v>340</v>
      </c>
      <c r="E119" s="138" t="s">
        <v>341</v>
      </c>
    </row>
    <row r="120" spans="2:5" x14ac:dyDescent="0.2">
      <c r="B120" s="238">
        <v>118</v>
      </c>
      <c r="C120" s="190" t="str">
        <f>HLOOKUP(Auswahl!$A$2,$D$3:$E$199,$B120,FALSE)</f>
        <v>Besoin en MS par unité</v>
      </c>
      <c r="D120" s="138" t="s">
        <v>222</v>
      </c>
      <c r="E120" s="138" t="s">
        <v>223</v>
      </c>
    </row>
    <row r="121" spans="2:5" x14ac:dyDescent="0.2">
      <c r="B121" s="238">
        <v>119</v>
      </c>
      <c r="C121" s="190" t="str">
        <f>HLOOKUP(Auswahl!$A$2,$D$3:$E$199,$B121,FALSE)</f>
        <v>SAU</v>
      </c>
      <c r="D121" s="138" t="s">
        <v>234</v>
      </c>
      <c r="E121" s="138" t="s">
        <v>235</v>
      </c>
    </row>
    <row r="122" spans="2:5" x14ac:dyDescent="0.2">
      <c r="B122" s="238">
        <v>120</v>
      </c>
      <c r="C122" s="190" t="str">
        <f>HLOOKUP(Auswahl!$A$2,$D$3:$E$199,$B122,FALSE)</f>
        <v>*) Si estivage =&gt; indiquer le nombre de bêtes estivées après la virgule ( 25.05 signifie : 5 des 25 bêtes vont en estivage)</v>
      </c>
      <c r="D122" s="138" t="s">
        <v>342</v>
      </c>
      <c r="E122" s="138" t="s">
        <v>343</v>
      </c>
    </row>
    <row r="123" spans="2:5" x14ac:dyDescent="0.2">
      <c r="B123" s="238">
        <v>121</v>
      </c>
      <c r="C123" s="190" t="str">
        <f>HLOOKUP(Auswahl!$A$2,$D$3:$E$199,$B123,FALSE)</f>
        <v>Tél. fixe</v>
      </c>
      <c r="D123" s="138" t="s">
        <v>284</v>
      </c>
      <c r="E123" s="138" t="s">
        <v>285</v>
      </c>
    </row>
    <row r="124" spans="2:5" x14ac:dyDescent="0.2">
      <c r="B124" s="238">
        <v>122</v>
      </c>
      <c r="C124" s="190">
        <f>HLOOKUP(Auswahl!$A$2,$D$3:$E$199,$B124,FALSE)</f>
        <v>0</v>
      </c>
      <c r="D124" s="138"/>
      <c r="E124" s="138"/>
    </row>
    <row r="125" spans="2:5" x14ac:dyDescent="0.2">
      <c r="B125" s="238">
        <v>123</v>
      </c>
      <c r="C125" s="190">
        <f>HLOOKUP(Auswahl!$A$2,$D$3:$E$199,$B125,FALSE)</f>
        <v>0</v>
      </c>
      <c r="D125" s="138"/>
      <c r="E125" s="138"/>
    </row>
    <row r="126" spans="2:5" x14ac:dyDescent="0.2">
      <c r="B126" s="238">
        <v>124</v>
      </c>
      <c r="C126" s="190">
        <f>HLOOKUP(Auswahl!$A$2,$D$3:$E$199,$B126,FALSE)</f>
        <v>0</v>
      </c>
      <c r="D126" s="146"/>
      <c r="E126" s="146"/>
    </row>
    <row r="127" spans="2:5" ht="15" x14ac:dyDescent="0.25">
      <c r="B127" s="238">
        <v>125</v>
      </c>
      <c r="C127" s="190" t="str">
        <f>HLOOKUP(Auswahl!$A$2,$D$3:$E$199,$B127,FALSE)</f>
        <v>Appréciation</v>
      </c>
      <c r="D127" s="137" t="s">
        <v>6</v>
      </c>
      <c r="E127" s="137" t="s">
        <v>111</v>
      </c>
    </row>
    <row r="128" spans="2:5" x14ac:dyDescent="0.2">
      <c r="B128" s="238">
        <v>126</v>
      </c>
      <c r="C128" s="190" t="str">
        <f>HLOOKUP(Auswahl!$A$2,$D$3:$E$199,$B128,FALSE)</f>
        <v>Selon le présent calcul, la MB tributaire du sol est:</v>
      </c>
      <c r="D128" s="138" t="s">
        <v>26</v>
      </c>
      <c r="E128" s="138" t="s">
        <v>112</v>
      </c>
    </row>
    <row r="129" spans="2:5" x14ac:dyDescent="0.2">
      <c r="B129" s="238">
        <v>127</v>
      </c>
      <c r="C129" s="190">
        <f>HLOOKUP(Auswahl!$A$2,$D$3:$E$199,$B129,FALSE)</f>
        <v>0</v>
      </c>
      <c r="D129" s="146"/>
      <c r="E129" s="146"/>
    </row>
    <row r="130" spans="2:5" x14ac:dyDescent="0.2">
      <c r="B130" s="238">
        <v>128</v>
      </c>
      <c r="C130" s="190">
        <f>HLOOKUP(Auswahl!$A$2,$D$3:$E$199,$B130,FALSE)</f>
        <v>0</v>
      </c>
      <c r="D130" s="146"/>
      <c r="E130" s="146"/>
    </row>
    <row r="131" spans="2:5" x14ac:dyDescent="0.2">
      <c r="B131" s="238">
        <v>129</v>
      </c>
      <c r="C131" s="190" t="str">
        <f>HLOOKUP(Auswahl!$A$2,$D$3:$E$199,$B131,FALSE)</f>
        <v xml:space="preserve">à la MB de la production hors sol. </v>
      </c>
      <c r="D131" s="138" t="s">
        <v>7</v>
      </c>
      <c r="E131" s="138" t="s">
        <v>113</v>
      </c>
    </row>
    <row r="132" spans="2:5" ht="12.75" customHeight="1" x14ac:dyDescent="0.2">
      <c r="B132" s="238">
        <v>130</v>
      </c>
      <c r="C132" s="190" t="str">
        <f>HLOOKUP(Auswahl!$A$2,$D$3:$E$199,$B132,FALSE)</f>
        <v xml:space="preserve">A MB supérieure, les exceptions de l'art.36 al.3 de l'OAT s'appliquent: le taux de couverture nécessaire de la MS n'est plus de 70% mais de 50%. </v>
      </c>
      <c r="D132" s="147" t="s">
        <v>8</v>
      </c>
      <c r="E132" s="150" t="s">
        <v>114</v>
      </c>
    </row>
    <row r="133" spans="2:5" x14ac:dyDescent="0.2">
      <c r="B133" s="238">
        <v>131</v>
      </c>
      <c r="C133" s="190" t="str">
        <f>HLOOKUP(Auswahl!$A$2,$D$3:$E$199,$B133,FALSE)</f>
        <v xml:space="preserve">Selon le présent calcul l'exploitation peut produire, par le développement interne de </v>
      </c>
      <c r="D133" s="138" t="s">
        <v>9</v>
      </c>
      <c r="E133" s="138" t="s">
        <v>115</v>
      </c>
    </row>
    <row r="134" spans="2:5" x14ac:dyDescent="0.2">
      <c r="B134" s="238">
        <v>132</v>
      </c>
      <c r="C134" s="190">
        <f>HLOOKUP(Auswahl!$A$2,$D$3:$E$199,$B134,FALSE)</f>
        <v>0</v>
      </c>
      <c r="D134" s="146"/>
      <c r="E134" s="146"/>
    </row>
    <row r="135" spans="2:5" x14ac:dyDescent="0.2">
      <c r="B135" s="238">
        <v>133</v>
      </c>
      <c r="C135" s="190" t="str">
        <f>HLOOKUP(Auswahl!$A$2,$D$3:$E$199,$B135,FALSE)</f>
        <v>(places )</v>
      </c>
      <c r="D135" s="138" t="s">
        <v>10</v>
      </c>
      <c r="E135" s="146" t="s">
        <v>214</v>
      </c>
    </row>
    <row r="136" spans="2:5" x14ac:dyDescent="0.2">
      <c r="B136" s="238">
        <v>134</v>
      </c>
      <c r="C136" s="190">
        <f>HLOOKUP(Auswahl!$A$2,$D$3:$E$199,$B136,FALSE)</f>
        <v>0</v>
      </c>
      <c r="D136" s="146"/>
      <c r="E136" s="146"/>
    </row>
    <row r="137" spans="2:5" x14ac:dyDescent="0.2">
      <c r="B137" s="238">
        <v>135</v>
      </c>
      <c r="C137" s="190" t="str">
        <f>HLOOKUP(Auswahl!$A$2,$D$3:$E$199,$B137,FALSE)</f>
        <v>de la MS nécessaire.</v>
      </c>
      <c r="D137" s="138" t="s">
        <v>11</v>
      </c>
      <c r="E137" s="138" t="s">
        <v>116</v>
      </c>
    </row>
    <row r="138" spans="2:5" x14ac:dyDescent="0.2">
      <c r="B138" s="238">
        <v>136</v>
      </c>
      <c r="C138" s="190" t="str">
        <f>HLOOKUP(Auswahl!$A$2,$D$3:$E$199,$B138,FALSE)</f>
        <v xml:space="preserve">Lieu et date: </v>
      </c>
      <c r="D138" s="146" t="s">
        <v>12</v>
      </c>
      <c r="E138" s="146" t="s">
        <v>117</v>
      </c>
    </row>
    <row r="139" spans="2:5" x14ac:dyDescent="0.2">
      <c r="B139" s="238">
        <v>137</v>
      </c>
      <c r="C139" s="190" t="str">
        <f>HLOOKUP(Auswahl!$A$2,$D$3:$E$199,$B139,FALSE)</f>
        <v xml:space="preserve">Signature: </v>
      </c>
      <c r="D139" s="146" t="s">
        <v>216</v>
      </c>
      <c r="E139" s="138" t="s">
        <v>215</v>
      </c>
    </row>
    <row r="140" spans="2:5" x14ac:dyDescent="0.2">
      <c r="B140" s="238">
        <v>138</v>
      </c>
      <c r="C140" s="190" t="str">
        <f>HLOOKUP(Auswahl!$A$2,$D$3:$E$199,$B140,FALSE)</f>
        <v>Le critère de la marge brute n'est pas déterminant dans ce cas précis, les besoins en matière sèche étant couverts à plus de 70%.</v>
      </c>
      <c r="D140" s="29" t="s">
        <v>357</v>
      </c>
      <c r="E140" s="227" t="s">
        <v>368</v>
      </c>
    </row>
    <row r="141" spans="2:5" x14ac:dyDescent="0.2">
      <c r="B141" s="238">
        <v>139</v>
      </c>
      <c r="C141" s="190" t="str">
        <f>HLOOKUP(Auswahl!$A$2,$D$3:$E$199,$B141,FALSE)</f>
        <v>Le critère de la marge brute n'est pas déterminant dans ce cas précis, la couverture des besoins en matière sèche étant inférieure au minimum requis (50%).</v>
      </c>
      <c r="D141" s="29" t="s">
        <v>359</v>
      </c>
      <c r="E141" s="227" t="s">
        <v>369</v>
      </c>
    </row>
    <row r="142" spans="2:5" x14ac:dyDescent="0.2">
      <c r="B142" s="238">
        <v>140</v>
      </c>
      <c r="C142" s="190">
        <f>HLOOKUP(Auswahl!$A$2,$D$3:$E$199,$B142,FALSE)</f>
        <v>0</v>
      </c>
      <c r="D142" s="146"/>
      <c r="E142" s="138"/>
    </row>
    <row r="143" spans="2:5" x14ac:dyDescent="0.2">
      <c r="B143" s="238">
        <v>141</v>
      </c>
      <c r="C143" s="190">
        <f>HLOOKUP(Auswahl!$A$2,$D$3:$E$199,$B143,FALSE)</f>
        <v>0</v>
      </c>
      <c r="D143" s="138"/>
      <c r="E143" s="138"/>
    </row>
    <row r="144" spans="2:5" x14ac:dyDescent="0.2">
      <c r="B144" s="238">
        <v>142</v>
      </c>
      <c r="C144" s="190">
        <f>HLOOKUP(Auswahl!$A$2,$D$3:$E$199,$B144,FALSE)</f>
        <v>0</v>
      </c>
      <c r="D144" s="138"/>
      <c r="E144" s="138"/>
    </row>
    <row r="145" spans="2:5" x14ac:dyDescent="0.2">
      <c r="B145" s="238">
        <v>143</v>
      </c>
      <c r="C145" s="190" t="str">
        <f>HLOOKUP(Auswahl!$A$2,$D$3:$E$199,$B145,FALSE)</f>
        <v>Instruction</v>
      </c>
      <c r="D145" s="146" t="s">
        <v>13</v>
      </c>
      <c r="E145" s="146" t="s">
        <v>118</v>
      </c>
    </row>
    <row r="146" spans="2:5" x14ac:dyDescent="0.2">
      <c r="B146" s="238">
        <v>144</v>
      </c>
      <c r="C146" s="190" t="str">
        <f>HLOOKUP(Auswahl!$A$2,$D$3:$E$199,$B146,FALSE)</f>
        <v xml:space="preserve">Les données de l'exploitation doivent être apposées dans les cellules grisées. </v>
      </c>
      <c r="D146" s="138" t="s">
        <v>14</v>
      </c>
      <c r="E146" s="148" t="s">
        <v>119</v>
      </c>
    </row>
    <row r="147" spans="2:5" x14ac:dyDescent="0.2">
      <c r="B147" s="238">
        <v>145</v>
      </c>
      <c r="C147" s="190" t="str">
        <f>HLOOKUP(Auswahl!$A$2,$D$3:$E$199,$B147,FALSE)</f>
        <v>Les valeurs unitaires liées au tableau référant annexe ne peuvent pas être changées manuellement.</v>
      </c>
      <c r="D147" s="138" t="s">
        <v>29</v>
      </c>
      <c r="E147" s="148" t="s">
        <v>120</v>
      </c>
    </row>
    <row r="148" spans="2:5" ht="15" x14ac:dyDescent="0.25">
      <c r="B148" s="238">
        <v>146</v>
      </c>
      <c r="C148" s="190" t="str">
        <f>HLOOKUP(Auswahl!$A$2,$D$3:$E$199,$B148,FALSE)</f>
        <v>Pour les productions dont les marges brutes ne comprennent aucune indication, le requérant devra apporter les chiffres planifiés et leur justification.</v>
      </c>
      <c r="D148" s="225" t="s">
        <v>233</v>
      </c>
      <c r="E148" s="228" t="s">
        <v>370</v>
      </c>
    </row>
    <row r="149" spans="2:5" x14ac:dyDescent="0.2">
      <c r="B149" s="238">
        <v>147</v>
      </c>
      <c r="C149" s="190" t="str">
        <f>HLOOKUP(Auswahl!$A$2,$D$3:$E$199,$B149,FALSE)</f>
        <v>Abréviations</v>
      </c>
      <c r="D149" s="146" t="s">
        <v>15</v>
      </c>
      <c r="E149" s="146" t="s">
        <v>121</v>
      </c>
    </row>
    <row r="150" spans="2:5" ht="12.75" customHeight="1" x14ac:dyDescent="0.2">
      <c r="B150" s="238">
        <v>148</v>
      </c>
      <c r="C150" s="190" t="str">
        <f>HLOOKUP(Auswahl!$A$2,$D$3:$E$199,$B150,FALSE)</f>
        <v xml:space="preserve">MB = marge brute; MS = matière sèche;  ring = partage du travail en production de porcelets; SPB = surfaces de promotion de la biodiversité </v>
      </c>
      <c r="D150" s="147" t="s">
        <v>354</v>
      </c>
      <c r="E150" s="150" t="s">
        <v>208</v>
      </c>
    </row>
    <row r="151" spans="2:5" x14ac:dyDescent="0.2">
      <c r="B151" s="238">
        <v>149</v>
      </c>
      <c r="C151" s="190" t="str">
        <f>HLOOKUP(Auswahl!$A$2,$D$3:$E$199,$B151,FALSE)</f>
        <v>31 Zone de plaine</v>
      </c>
      <c r="D151" s="138" t="s">
        <v>270</v>
      </c>
      <c r="E151" s="138" t="s">
        <v>240</v>
      </c>
    </row>
    <row r="152" spans="2:5" x14ac:dyDescent="0.2">
      <c r="B152" s="238">
        <v>150</v>
      </c>
      <c r="C152" s="190" t="str">
        <f>HLOOKUP(Auswahl!$A$2,$D$3:$E$199,$B152,FALSE)</f>
        <v>41 Zone des collines</v>
      </c>
      <c r="D152" s="138" t="s">
        <v>271</v>
      </c>
      <c r="E152" s="138" t="s">
        <v>241</v>
      </c>
    </row>
    <row r="153" spans="2:5" x14ac:dyDescent="0.2">
      <c r="B153" s="238">
        <v>151</v>
      </c>
      <c r="C153" s="190" t="str">
        <f>HLOOKUP(Auswahl!$A$2,$D$3:$E$199,$B153,FALSE)</f>
        <v>51 Zone de montagne 1</v>
      </c>
      <c r="D153" s="138" t="s">
        <v>245</v>
      </c>
      <c r="E153" s="138" t="s">
        <v>242</v>
      </c>
    </row>
    <row r="154" spans="2:5" x14ac:dyDescent="0.2">
      <c r="B154" s="238">
        <v>152</v>
      </c>
      <c r="C154" s="190" t="str">
        <f>HLOOKUP(Auswahl!$A$2,$D$3:$E$199,$B154,FALSE)</f>
        <v>52 Zone de montagne 2</v>
      </c>
      <c r="D154" s="138" t="s">
        <v>246</v>
      </c>
      <c r="E154" s="138" t="s">
        <v>243</v>
      </c>
    </row>
    <row r="155" spans="2:5" x14ac:dyDescent="0.2">
      <c r="B155" s="238">
        <v>153</v>
      </c>
      <c r="C155" s="190" t="str">
        <f>HLOOKUP(Auswahl!$A$2,$D$3:$E$199,$B155,FALSE)</f>
        <v>53 Zone de montagne 3</v>
      </c>
      <c r="D155" s="138" t="s">
        <v>247</v>
      </c>
      <c r="E155" s="138" t="s">
        <v>244</v>
      </c>
    </row>
    <row r="156" spans="2:5" x14ac:dyDescent="0.2">
      <c r="B156" s="238">
        <v>154</v>
      </c>
      <c r="C156" s="190">
        <f>HLOOKUP(Auswahl!$A$2,$D$3:$E$199,$B156,FALSE)</f>
        <v>0</v>
      </c>
      <c r="D156" s="138"/>
      <c r="E156" s="138"/>
    </row>
    <row r="157" spans="2:5" x14ac:dyDescent="0.2">
      <c r="B157" s="238">
        <v>155</v>
      </c>
      <c r="C157" s="190" t="str">
        <f>HLOOKUP(Auswahl!$A$2,$D$3:$E$199,$B157,FALSE)</f>
        <v>Exploitation simple</v>
      </c>
      <c r="D157" s="149" t="s">
        <v>262</v>
      </c>
      <c r="E157" s="138" t="s">
        <v>266</v>
      </c>
    </row>
    <row r="158" spans="2:5" x14ac:dyDescent="0.2">
      <c r="B158" s="238">
        <v>156</v>
      </c>
      <c r="C158" s="190" t="str">
        <f>HLOOKUP(Auswahl!$A$2,$D$3:$E$199,$B158,FALSE)</f>
        <v>Association / 1 exploitation</v>
      </c>
      <c r="D158" s="141" t="s">
        <v>263</v>
      </c>
      <c r="E158" s="138" t="s">
        <v>267</v>
      </c>
    </row>
    <row r="159" spans="2:5" x14ac:dyDescent="0.2">
      <c r="B159" s="238">
        <v>157</v>
      </c>
      <c r="C159" s="190" t="str">
        <f>HLOOKUP(Auswahl!$A$2,$D$3:$E$199,$B159,FALSE)</f>
        <v>Communauté partielle</v>
      </c>
      <c r="D159" s="141" t="s">
        <v>264</v>
      </c>
      <c r="E159" s="138" t="s">
        <v>268</v>
      </c>
    </row>
    <row r="160" spans="2:5" x14ac:dyDescent="0.2">
      <c r="B160" s="238">
        <v>158</v>
      </c>
      <c r="C160" s="190" t="str">
        <f>HLOOKUP(Auswahl!$A$2,$D$3:$E$199,$B160,FALSE)</f>
        <v>Communauté complète</v>
      </c>
      <c r="D160" s="141" t="s">
        <v>265</v>
      </c>
      <c r="E160" s="138" t="s">
        <v>269</v>
      </c>
    </row>
    <row r="161" spans="2:5" x14ac:dyDescent="0.2">
      <c r="B161" s="238">
        <v>159</v>
      </c>
      <c r="C161" s="190" t="str">
        <f>HLOOKUP(Auswahl!$A$2,$D$3:$E$199,$B161,FALSE)</f>
        <v>Excédent (+) ou manque (-) de fourrage (test de plausibilité)</v>
      </c>
      <c r="D161" s="29" t="s">
        <v>355</v>
      </c>
      <c r="E161" s="29" t="s">
        <v>356</v>
      </c>
    </row>
    <row r="162" spans="2:5" x14ac:dyDescent="0.2">
      <c r="B162" s="238">
        <v>160</v>
      </c>
      <c r="C162" s="288">
        <f>HLOOKUP(Auswahl!$A$2,$D$3:$E$199,$B162,FALSE)</f>
        <v>0</v>
      </c>
    </row>
    <row r="163" spans="2:5" x14ac:dyDescent="0.2">
      <c r="B163" s="238">
        <v>161</v>
      </c>
      <c r="C163" s="288" t="str">
        <f>HLOOKUP(Auswahl!$A$2,$D$3:$E$199,$B163,FALSE)</f>
        <v>Note explicative:</v>
      </c>
      <c r="D163" s="288" t="s">
        <v>378</v>
      </c>
      <c r="E163" s="288" t="s">
        <v>397</v>
      </c>
    </row>
    <row r="164" spans="2:5" x14ac:dyDescent="0.2">
      <c r="B164" s="238">
        <v>162</v>
      </c>
      <c r="C164" s="288" t="str">
        <f>HLOOKUP(Auswahl!$A$2,$D$3:$E$199,$B164,FALSE)</f>
        <v>Le critère de la marge brute (art. 36 al. 1 let. a OAT)</v>
      </c>
      <c r="D164" s="288" t="s">
        <v>376</v>
      </c>
      <c r="E164" s="288" t="s">
        <v>398</v>
      </c>
    </row>
    <row r="165" spans="2:5" x14ac:dyDescent="0.2">
      <c r="B165" s="238">
        <v>163</v>
      </c>
      <c r="C165" s="288" t="str">
        <f>HLOOKUP(Auswahl!$A$2,$D$3:$E$199,$B165,FALSE)</f>
        <v xml:space="preserve">Pour établir la base de calcul de la comparaison des marges brutes, nous avons intégré toutes les recommandations du document de l'ARE "Critères de la marge brute et de la matière sèche au sens de l'article 36 OAT"1, à savoir : </v>
      </c>
      <c r="D165" s="76" t="s">
        <v>396</v>
      </c>
      <c r="E165" s="76" t="s">
        <v>415</v>
      </c>
    </row>
    <row r="166" spans="2:5" x14ac:dyDescent="0.2">
      <c r="B166" s="238">
        <v>164</v>
      </c>
      <c r="C166" s="288" t="str">
        <f>HLOOKUP(Auswahl!$A$2,$D$3:$E$199,$B166,FALSE)</f>
        <v>. le calcul avec des valeurs standard</v>
      </c>
      <c r="D166" s="76" t="s">
        <v>371</v>
      </c>
      <c r="E166" s="76" t="s">
        <v>399</v>
      </c>
    </row>
    <row r="167" spans="2:5" x14ac:dyDescent="0.2">
      <c r="B167" s="238">
        <v>165</v>
      </c>
      <c r="C167" s="288" t="str">
        <f>HLOOKUP(Auswahl!$A$2,$D$3:$E$199,$B167,FALSE)</f>
        <v>. la référence du catalogue des marges brutes</v>
      </c>
      <c r="D167" s="76" t="s">
        <v>372</v>
      </c>
      <c r="E167" s="76" t="s">
        <v>400</v>
      </c>
    </row>
    <row r="168" spans="2:5" x14ac:dyDescent="0.2">
      <c r="B168" s="238">
        <v>166</v>
      </c>
      <c r="C168" s="288" t="str">
        <f>HLOOKUP(Auswahl!$A$2,$D$3:$E$199,$B168,FALSE)</f>
        <v>. les marges brutes avec contributions comme critère d'appréciation</v>
      </c>
      <c r="D168" s="76" t="s">
        <v>379</v>
      </c>
      <c r="E168" s="76" t="s">
        <v>401</v>
      </c>
    </row>
    <row r="169" spans="2:5" x14ac:dyDescent="0.2">
      <c r="B169" s="238">
        <v>167</v>
      </c>
      <c r="C169" s="288" t="str">
        <f>HLOOKUP(Auswahl!$A$2,$D$3:$E$199,$B169,FALSE)</f>
        <v>Dans notre base de calcul, nous tenons également compte d'un mode de production standard en choisissant systématiquement le mode "prestation écologiques requises" (PER).</v>
      </c>
      <c r="D169" s="76" t="s">
        <v>373</v>
      </c>
      <c r="E169" s="288" t="s">
        <v>402</v>
      </c>
    </row>
    <row r="170" spans="2:5" x14ac:dyDescent="0.2">
      <c r="B170" s="238">
        <v>168</v>
      </c>
      <c r="C170" s="288" t="str">
        <f>HLOOKUP(Auswahl!$A$2,$D$3:$E$199,$B170,FALSE)</f>
        <v>Le critère des matières sèches (art. 36, al. 1, let. b OAT)</v>
      </c>
      <c r="D170" s="76" t="s">
        <v>374</v>
      </c>
      <c r="E170" s="76" t="s">
        <v>403</v>
      </c>
    </row>
    <row r="171" spans="2:5" x14ac:dyDescent="0.2">
      <c r="B171" s="238">
        <v>169</v>
      </c>
      <c r="C171" s="288" t="str">
        <f>HLOOKUP(Auswahl!$A$2,$D$3:$E$199,$B171,FALSE)</f>
        <v>Pour contenir les tâches administratives dans des limites raisonnables et, d'autre part, permettre d'apprécier de façon plus objective les demandes de développement interne, l'article 36 OAT impose une comparaison des matières sèches en fonction de valeurs standard. Pour le critère de la matière sèche, nous avons également retenu toutes les recommandations de l'ARE, notamment concernant :</v>
      </c>
      <c r="D171" s="76" t="s">
        <v>380</v>
      </c>
      <c r="E171" s="76" t="s">
        <v>404</v>
      </c>
    </row>
    <row r="172" spans="2:5" x14ac:dyDescent="0.2">
      <c r="B172" s="238">
        <v>170</v>
      </c>
      <c r="C172" s="288" t="str">
        <f>HLOOKUP(Auswahl!$A$2,$D$3:$E$199,$B172,FALSE)</f>
        <v>. les groupes de cultures</v>
      </c>
      <c r="D172" s="76" t="s">
        <v>375</v>
      </c>
      <c r="E172" s="288" t="s">
        <v>405</v>
      </c>
    </row>
    <row r="173" spans="2:5" x14ac:dyDescent="0.2">
      <c r="B173" s="238">
        <v>171</v>
      </c>
      <c r="C173" s="288" t="str">
        <f>HLOOKUP(Auswahl!$A$2,$D$3:$E$199,$B173,FALSE)</f>
        <v>. les différenciations selon les zones agricoles</v>
      </c>
      <c r="D173" s="288" t="s">
        <v>377</v>
      </c>
      <c r="E173" s="288" t="s">
        <v>406</v>
      </c>
    </row>
    <row r="174" spans="2:5" x14ac:dyDescent="0.2">
      <c r="B174" s="238">
        <v>172</v>
      </c>
      <c r="C174" s="288" t="str">
        <f>HLOOKUP(Auswahl!$A$2,$D$3:$E$199,$B174,FALSE)</f>
        <v>Le potentiel de MS (grains, bulbes, tubercules, paille, chaumes, intercultures, etc.) de chacune des cultures est estimé sur la base des valeurs de référence (Suisse-Bilanz, Mémento agricole) et précisé en fonction du cadastre de la production agricole concerné (limites de zones et régions).</v>
      </c>
      <c r="D174" s="76" t="s">
        <v>381</v>
      </c>
      <c r="E174" s="76" t="s">
        <v>407</v>
      </c>
    </row>
    <row r="175" spans="2:5" x14ac:dyDescent="0.2">
      <c r="B175" s="238">
        <v>173</v>
      </c>
      <c r="C175" s="288" t="str">
        <f>HLOOKUP(Auswahl!$A$2,$D$3:$E$199,$B175,FALSE)</f>
        <v>Les cultures sont rassemblées sous forme de groupes principaux. Une sous pondération par type de culture a été définie à l'intérieur des groupes de culture. Celle-ci repose sur les dernières valeurs statistiques officielles du canton de Fribourg.</v>
      </c>
      <c r="D175" s="76" t="s">
        <v>386</v>
      </c>
      <c r="E175" s="76" t="s">
        <v>408</v>
      </c>
    </row>
    <row r="176" spans="2:5" x14ac:dyDescent="0.2">
      <c r="B176" s="238">
        <v>174</v>
      </c>
      <c r="C176" s="288" t="str">
        <f>HLOOKUP(Auswahl!$A$2,$D$3:$E$199,$B176,FALSE)</f>
        <v>Concernant les besoins en MS des catégories d'animaux, nous avons retenu les valeurs standard de l'ARE.</v>
      </c>
      <c r="D176" s="76" t="s">
        <v>382</v>
      </c>
      <c r="E176" s="76" t="s">
        <v>409</v>
      </c>
    </row>
    <row r="177" spans="2:5" x14ac:dyDescent="0.2">
      <c r="B177" s="238">
        <v>175</v>
      </c>
      <c r="C177" s="288" t="str">
        <f>HLOOKUP(Auswahl!$A$2,$D$3:$E$199,$B177,FALSE)</f>
        <v>Traçabilité des données et mises à jour</v>
      </c>
      <c r="D177" s="76" t="s">
        <v>383</v>
      </c>
      <c r="E177" s="76" t="s">
        <v>410</v>
      </c>
    </row>
    <row r="178" spans="2:5" x14ac:dyDescent="0.2">
      <c r="B178" s="238">
        <v>176</v>
      </c>
      <c r="C178" s="288" t="str">
        <f>HLOOKUP(Auswahl!$A$2,$D$3:$E$199,$B178,FALSE)</f>
        <v>Les sources et méthodes de détermination de chaque facteur sont précisées dans la table valeur du présent tableur. Par politique de sécurité, cet onglet n'est pas accessible dans la version "utilisateur".</v>
      </c>
      <c r="D178" s="76" t="s">
        <v>384</v>
      </c>
      <c r="E178" s="76" t="s">
        <v>411</v>
      </c>
    </row>
    <row r="179" spans="2:5" x14ac:dyDescent="0.2">
      <c r="B179" s="238">
        <v>177</v>
      </c>
      <c r="C179" s="288" t="str">
        <f>HLOOKUP(Auswahl!$A$2,$D$3:$E$199,$B179,FALSE)</f>
        <v>Afin de garantir une bonne stabilité de la planification, la mise à jour des valeurs standard repose sur une moyenne roulante de cinq ans, indexée annuellement.</v>
      </c>
      <c r="D179" s="76" t="s">
        <v>385</v>
      </c>
      <c r="E179" s="76" t="s">
        <v>412</v>
      </c>
    </row>
    <row r="180" spans="2:5" ht="15" x14ac:dyDescent="0.2">
      <c r="B180" s="238">
        <v>178</v>
      </c>
      <c r="C180" s="288" t="str">
        <f>HLOOKUP(Auswahl!$A$2,$D$3:$E$199,$B180,FALSE)</f>
        <v>1 "Critères de la marge brute et de la matière sèche au sens de l’article 36 OAT" in Nouveau droit de l'aménagement du territoire. Explications relatives à l'ordonnance sur l'aménagement du territoire et recommandations pour la mise en oeuvre, Office fédéral du développement territorial (2000/01), p. 83-94.</v>
      </c>
      <c r="D180" s="76" t="s">
        <v>413</v>
      </c>
      <c r="E180" s="76" t="s">
        <v>414</v>
      </c>
    </row>
    <row r="181" spans="2:5" x14ac:dyDescent="0.2">
      <c r="B181" s="230"/>
      <c r="C181" s="230"/>
    </row>
    <row r="182" spans="2:5" x14ac:dyDescent="0.2">
      <c r="B182" s="230"/>
      <c r="C182" s="230"/>
    </row>
    <row r="183" spans="2:5" x14ac:dyDescent="0.2">
      <c r="B183" s="230"/>
      <c r="C183" s="230"/>
    </row>
    <row r="190" spans="2:5" ht="15" x14ac:dyDescent="0.25">
      <c r="C190" s="76" t="e">
        <f>HLOOKUP(Auswahl!$A$2,$D$3:$E$136,$B141,FALSE)</f>
        <v>#REF!</v>
      </c>
      <c r="D190" s="79" t="s">
        <v>6</v>
      </c>
      <c r="E190" s="81"/>
    </row>
    <row r="191" spans="2:5" x14ac:dyDescent="0.2">
      <c r="C191" s="76" t="e">
        <f>HLOOKUP(Auswahl!$A$2,$D$3:$E$136,$B142,FALSE)</f>
        <v>#REF!</v>
      </c>
      <c r="D191" s="74" t="s">
        <v>26</v>
      </c>
      <c r="E191" s="75"/>
    </row>
    <row r="192" spans="2:5" x14ac:dyDescent="0.2">
      <c r="D192" s="74"/>
      <c r="E192" s="75"/>
    </row>
    <row r="193" spans="4:29" x14ac:dyDescent="0.2">
      <c r="D193" s="382" t="s">
        <v>8</v>
      </c>
      <c r="E193" s="383"/>
      <c r="F193" s="383"/>
      <c r="G193" s="383"/>
      <c r="H193" s="383"/>
      <c r="I193" s="383"/>
      <c r="J193" s="383"/>
      <c r="K193" s="383"/>
      <c r="L193" s="383"/>
      <c r="M193" s="383"/>
      <c r="N193" s="383"/>
      <c r="O193" s="383"/>
      <c r="P193" s="383"/>
      <c r="Q193" s="383"/>
      <c r="R193" s="383"/>
      <c r="S193" s="383"/>
      <c r="T193" s="383"/>
      <c r="U193" s="383"/>
      <c r="V193" s="383"/>
      <c r="W193" s="383"/>
      <c r="X193" s="383"/>
      <c r="Y193" s="383"/>
      <c r="Z193" s="383"/>
      <c r="AA193" s="383"/>
      <c r="AB193" s="383"/>
      <c r="AC193" s="384"/>
    </row>
    <row r="194" spans="4:29" x14ac:dyDescent="0.2">
      <c r="D194" s="74"/>
      <c r="E194" s="75"/>
    </row>
    <row r="195" spans="4:29" x14ac:dyDescent="0.2">
      <c r="D195" s="74" t="s">
        <v>9</v>
      </c>
      <c r="E195" s="75"/>
    </row>
    <row r="196" spans="4:29" x14ac:dyDescent="0.2">
      <c r="D196" s="83">
        <v>0</v>
      </c>
      <c r="E196" s="75" t="s">
        <v>11</v>
      </c>
    </row>
    <row r="197" spans="4:29" x14ac:dyDescent="0.2">
      <c r="D197" s="84"/>
      <c r="E197" s="85"/>
    </row>
    <row r="199" spans="4:29" x14ac:dyDescent="0.2">
      <c r="D199" s="78" t="s">
        <v>12</v>
      </c>
    </row>
    <row r="201" spans="4:29" x14ac:dyDescent="0.2">
      <c r="D201" s="388" t="s">
        <v>27</v>
      </c>
      <c r="E201" s="388"/>
      <c r="F201" s="388"/>
      <c r="G201" s="388"/>
      <c r="H201" s="388"/>
      <c r="I201" s="388"/>
      <c r="J201" s="388"/>
      <c r="K201" s="388"/>
      <c r="L201" s="388"/>
      <c r="M201" s="388"/>
      <c r="N201" s="388"/>
      <c r="O201" s="388"/>
      <c r="P201" s="388"/>
      <c r="Q201" s="388"/>
      <c r="R201" s="388"/>
      <c r="S201" s="388"/>
      <c r="T201" s="388"/>
      <c r="U201" s="388"/>
      <c r="V201" s="388"/>
      <c r="W201" s="388"/>
      <c r="X201" s="388"/>
      <c r="Y201" s="388"/>
    </row>
    <row r="204" spans="4:29" x14ac:dyDescent="0.2">
      <c r="D204" s="80" t="s">
        <v>13</v>
      </c>
      <c r="E204" s="81"/>
    </row>
    <row r="205" spans="4:29" x14ac:dyDescent="0.2">
      <c r="D205" s="385" t="s">
        <v>14</v>
      </c>
      <c r="E205" s="386"/>
      <c r="F205" s="386"/>
      <c r="G205" s="386"/>
      <c r="H205" s="386"/>
      <c r="I205" s="386"/>
      <c r="J205" s="386"/>
      <c r="K205" s="386"/>
      <c r="L205" s="386"/>
      <c r="M205" s="386"/>
      <c r="N205" s="386"/>
      <c r="O205" s="386"/>
      <c r="P205" s="386"/>
      <c r="Q205" s="386"/>
      <c r="R205" s="386"/>
      <c r="S205" s="386"/>
      <c r="T205" s="386"/>
      <c r="U205" s="386"/>
      <c r="V205" s="386"/>
      <c r="W205" s="386"/>
      <c r="X205" s="386"/>
      <c r="Y205" s="386"/>
      <c r="Z205" s="386"/>
      <c r="AA205" s="386"/>
      <c r="AB205" s="386"/>
      <c r="AC205" s="387"/>
    </row>
    <row r="206" spans="4:29" x14ac:dyDescent="0.2">
      <c r="D206" s="385" t="s">
        <v>29</v>
      </c>
      <c r="E206" s="386"/>
      <c r="F206" s="386"/>
      <c r="G206" s="386"/>
      <c r="H206" s="386"/>
      <c r="I206" s="386"/>
      <c r="J206" s="386"/>
      <c r="K206" s="386"/>
      <c r="L206" s="386"/>
      <c r="M206" s="386"/>
      <c r="N206" s="386"/>
      <c r="O206" s="386"/>
      <c r="P206" s="386"/>
      <c r="Q206" s="386"/>
      <c r="R206" s="386"/>
      <c r="S206" s="386"/>
      <c r="T206" s="386"/>
      <c r="U206" s="386"/>
      <c r="V206" s="386"/>
      <c r="W206" s="386"/>
      <c r="X206" s="386"/>
      <c r="Y206" s="386"/>
      <c r="Z206" s="386"/>
      <c r="AA206" s="386"/>
      <c r="AB206" s="386"/>
      <c r="AC206" s="387"/>
    </row>
    <row r="207" spans="4:29" x14ac:dyDescent="0.2">
      <c r="D207" s="385"/>
      <c r="E207" s="386"/>
      <c r="F207" s="386"/>
      <c r="G207" s="386"/>
      <c r="H207" s="386"/>
      <c r="I207" s="386"/>
      <c r="J207" s="386"/>
      <c r="K207" s="386"/>
      <c r="L207" s="386"/>
      <c r="M207" s="386"/>
      <c r="N207" s="386"/>
      <c r="O207" s="386"/>
      <c r="P207" s="386"/>
      <c r="Q207" s="386"/>
      <c r="R207" s="386"/>
      <c r="S207" s="386"/>
      <c r="T207" s="386"/>
      <c r="U207" s="386"/>
      <c r="V207" s="386"/>
      <c r="W207" s="386"/>
      <c r="X207" s="386"/>
      <c r="Y207" s="386"/>
      <c r="Z207" s="386"/>
      <c r="AA207" s="386"/>
      <c r="AB207" s="386"/>
      <c r="AC207" s="387"/>
    </row>
    <row r="208" spans="4:29" x14ac:dyDescent="0.2">
      <c r="D208" s="82" t="s">
        <v>15</v>
      </c>
      <c r="E208" s="75"/>
    </row>
    <row r="209" spans="4:29" x14ac:dyDescent="0.2">
      <c r="D209" s="382" t="s">
        <v>209</v>
      </c>
      <c r="E209" s="383"/>
      <c r="F209" s="383"/>
      <c r="G209" s="383"/>
      <c r="H209" s="383"/>
      <c r="I209" s="383"/>
      <c r="J209" s="383"/>
      <c r="K209" s="383"/>
      <c r="L209" s="383"/>
      <c r="M209" s="383"/>
      <c r="N209" s="383"/>
      <c r="O209" s="383"/>
      <c r="P209" s="383"/>
      <c r="Q209" s="383"/>
      <c r="R209" s="383"/>
      <c r="S209" s="383"/>
      <c r="T209" s="383"/>
      <c r="U209" s="383"/>
      <c r="V209" s="383"/>
      <c r="W209" s="383"/>
      <c r="X209" s="383"/>
      <c r="Y209" s="383"/>
      <c r="Z209" s="383"/>
      <c r="AA209" s="383"/>
      <c r="AB209" s="383"/>
      <c r="AC209" s="384"/>
    </row>
    <row r="210" spans="4:29" x14ac:dyDescent="0.2">
      <c r="D210" s="82"/>
      <c r="E210" s="75"/>
    </row>
    <row r="211" spans="4:29" x14ac:dyDescent="0.2">
      <c r="D211" s="74"/>
      <c r="E211" s="75"/>
    </row>
    <row r="212" spans="4:29" x14ac:dyDescent="0.2">
      <c r="D212" s="74"/>
      <c r="E212" s="75"/>
    </row>
    <row r="213" spans="4:29" x14ac:dyDescent="0.2">
      <c r="D213" s="86"/>
      <c r="E213" s="85"/>
    </row>
    <row r="215" spans="4:29" ht="15" x14ac:dyDescent="0.25">
      <c r="D215" s="79" t="s">
        <v>111</v>
      </c>
      <c r="E215" s="81"/>
    </row>
    <row r="216" spans="4:29" x14ac:dyDescent="0.2">
      <c r="D216" s="74" t="s">
        <v>112</v>
      </c>
      <c r="E216" s="75"/>
    </row>
    <row r="217" spans="4:29" x14ac:dyDescent="0.2">
      <c r="D217" s="74"/>
      <c r="E217" s="75"/>
    </row>
    <row r="218" spans="4:29" x14ac:dyDescent="0.2">
      <c r="D218" s="382" t="s">
        <v>114</v>
      </c>
      <c r="E218" s="383"/>
      <c r="F218" s="383"/>
      <c r="G218" s="383"/>
      <c r="H218" s="383"/>
      <c r="I218" s="383"/>
      <c r="J218" s="383"/>
      <c r="K218" s="383"/>
      <c r="L218" s="383"/>
      <c r="M218" s="383"/>
      <c r="N218" s="383"/>
      <c r="O218" s="383"/>
      <c r="P218" s="383"/>
      <c r="Q218" s="383"/>
      <c r="R218" s="383"/>
      <c r="S218" s="383"/>
      <c r="T218" s="383"/>
      <c r="U218" s="383"/>
      <c r="V218" s="383"/>
      <c r="W218" s="383"/>
      <c r="X218" s="383"/>
      <c r="Y218" s="383"/>
      <c r="Z218" s="383"/>
      <c r="AA218" s="383"/>
      <c r="AB218" s="383"/>
      <c r="AC218" s="384"/>
    </row>
    <row r="219" spans="4:29" x14ac:dyDescent="0.2">
      <c r="D219" s="74"/>
      <c r="E219" s="75"/>
    </row>
    <row r="220" spans="4:29" x14ac:dyDescent="0.2">
      <c r="E220" s="75"/>
    </row>
    <row r="221" spans="4:29" x14ac:dyDescent="0.2">
      <c r="D221" s="83">
        <v>0</v>
      </c>
      <c r="E221" s="75" t="s">
        <v>116</v>
      </c>
    </row>
    <row r="222" spans="4:29" x14ac:dyDescent="0.2">
      <c r="D222" s="84"/>
      <c r="E222" s="85"/>
    </row>
    <row r="224" spans="4:29" x14ac:dyDescent="0.2">
      <c r="D224" s="78" t="s">
        <v>117</v>
      </c>
    </row>
    <row r="226" spans="4:29" x14ac:dyDescent="0.2">
      <c r="D226" s="388" t="s">
        <v>27</v>
      </c>
      <c r="E226" s="388"/>
      <c r="F226" s="388"/>
      <c r="G226" s="388"/>
      <c r="H226" s="388"/>
      <c r="I226" s="388"/>
      <c r="J226" s="388"/>
      <c r="K226" s="388"/>
      <c r="L226" s="388"/>
      <c r="M226" s="388"/>
      <c r="N226" s="388"/>
      <c r="O226" s="388"/>
      <c r="P226" s="388"/>
      <c r="Q226" s="388"/>
      <c r="R226" s="388"/>
      <c r="S226" s="388"/>
      <c r="T226" s="388"/>
      <c r="U226" s="388"/>
      <c r="V226" s="388"/>
      <c r="W226" s="388"/>
      <c r="X226" s="388"/>
      <c r="Y226" s="388"/>
    </row>
    <row r="229" spans="4:29" x14ac:dyDescent="0.2">
      <c r="D229" s="80" t="s">
        <v>118</v>
      </c>
      <c r="E229" s="81"/>
    </row>
    <row r="230" spans="4:29" x14ac:dyDescent="0.2">
      <c r="D230" s="385" t="s">
        <v>119</v>
      </c>
      <c r="E230" s="386"/>
      <c r="F230" s="386"/>
      <c r="G230" s="386"/>
      <c r="H230" s="386"/>
      <c r="I230" s="386"/>
      <c r="J230" s="386"/>
      <c r="K230" s="386"/>
      <c r="L230" s="386"/>
      <c r="M230" s="386"/>
      <c r="N230" s="386"/>
      <c r="O230" s="386"/>
      <c r="P230" s="386"/>
      <c r="Q230" s="386"/>
      <c r="R230" s="386"/>
      <c r="S230" s="386"/>
      <c r="T230" s="386"/>
      <c r="U230" s="386"/>
      <c r="V230" s="386"/>
      <c r="W230" s="386"/>
      <c r="X230" s="386"/>
      <c r="Y230" s="386"/>
      <c r="Z230" s="386"/>
      <c r="AA230" s="386"/>
      <c r="AB230" s="386"/>
      <c r="AC230" s="387"/>
    </row>
    <row r="231" spans="4:29" x14ac:dyDescent="0.2">
      <c r="D231" s="385" t="s">
        <v>120</v>
      </c>
      <c r="E231" s="386"/>
      <c r="F231" s="386"/>
      <c r="G231" s="386"/>
      <c r="H231" s="386"/>
      <c r="I231" s="386"/>
      <c r="J231" s="386"/>
      <c r="K231" s="386"/>
      <c r="L231" s="386"/>
      <c r="M231" s="386"/>
      <c r="N231" s="386"/>
      <c r="O231" s="386"/>
      <c r="P231" s="386"/>
      <c r="Q231" s="386"/>
      <c r="R231" s="386"/>
      <c r="S231" s="386"/>
      <c r="T231" s="386"/>
      <c r="U231" s="386"/>
      <c r="V231" s="386"/>
      <c r="W231" s="386"/>
      <c r="X231" s="386"/>
      <c r="Y231" s="386"/>
      <c r="Z231" s="386"/>
      <c r="AA231" s="386"/>
      <c r="AB231" s="386"/>
      <c r="AC231" s="387"/>
    </row>
    <row r="232" spans="4:29" ht="15" x14ac:dyDescent="0.25">
      <c r="D232" s="379"/>
      <c r="E232" s="380"/>
      <c r="F232" s="380"/>
      <c r="G232" s="380"/>
      <c r="H232" s="380"/>
      <c r="I232" s="380"/>
      <c r="J232" s="380"/>
      <c r="K232" s="380"/>
      <c r="L232" s="380"/>
      <c r="M232" s="380"/>
      <c r="N232" s="380"/>
      <c r="O232" s="380"/>
      <c r="P232" s="380"/>
      <c r="Q232" s="380"/>
      <c r="R232" s="380"/>
      <c r="S232" s="380"/>
      <c r="T232" s="380"/>
      <c r="U232" s="380"/>
      <c r="V232" s="380"/>
      <c r="W232" s="380"/>
      <c r="X232" s="380"/>
      <c r="Y232" s="380"/>
      <c r="Z232" s="380"/>
      <c r="AA232" s="380"/>
      <c r="AB232" s="380"/>
      <c r="AC232" s="381"/>
    </row>
    <row r="233" spans="4:29" x14ac:dyDescent="0.2">
      <c r="D233" s="82" t="s">
        <v>121</v>
      </c>
      <c r="E233" s="75"/>
    </row>
    <row r="234" spans="4:29" x14ac:dyDescent="0.2">
      <c r="D234" s="382" t="s">
        <v>208</v>
      </c>
      <c r="E234" s="383"/>
      <c r="F234" s="383"/>
      <c r="G234" s="383"/>
      <c r="H234" s="383"/>
      <c r="I234" s="383"/>
      <c r="J234" s="383"/>
      <c r="K234" s="383"/>
      <c r="L234" s="383"/>
      <c r="M234" s="383"/>
      <c r="N234" s="383"/>
      <c r="O234" s="383"/>
      <c r="P234" s="383"/>
      <c r="Q234" s="383"/>
      <c r="R234" s="383"/>
      <c r="S234" s="383"/>
      <c r="T234" s="383"/>
      <c r="U234" s="383"/>
      <c r="V234" s="383"/>
      <c r="W234" s="383"/>
      <c r="X234" s="383"/>
      <c r="Y234" s="383"/>
      <c r="Z234" s="383"/>
      <c r="AA234" s="383"/>
      <c r="AB234" s="383"/>
      <c r="AC234" s="384"/>
    </row>
    <row r="235" spans="4:29" x14ac:dyDescent="0.2">
      <c r="D235" s="82"/>
      <c r="E235" s="75"/>
    </row>
    <row r="236" spans="4:29" x14ac:dyDescent="0.2">
      <c r="D236" s="74"/>
      <c r="E236" s="75"/>
    </row>
    <row r="237" spans="4:29" x14ac:dyDescent="0.2">
      <c r="D237" s="74"/>
      <c r="E237" s="75"/>
    </row>
    <row r="238" spans="4:29" x14ac:dyDescent="0.2">
      <c r="D238" s="86"/>
      <c r="E238" s="85"/>
    </row>
  </sheetData>
  <sheetProtection formatCells="0" formatColumns="0" formatRows="0" insertColumns="0" insertRows="0" insertHyperlinks="0" deleteColumns="0" deleteRows="0" sort="0" autoFilter="0" pivotTables="0"/>
  <mergeCells count="43">
    <mergeCell ref="Z4:AD4"/>
    <mergeCell ref="Y1:AD1"/>
    <mergeCell ref="Z2:AD2"/>
    <mergeCell ref="Z24:AD24"/>
    <mergeCell ref="F1:F3"/>
    <mergeCell ref="T4:X4"/>
    <mergeCell ref="T24:X24"/>
    <mergeCell ref="T2:X2"/>
    <mergeCell ref="S1:X1"/>
    <mergeCell ref="M1:R1"/>
    <mergeCell ref="N2:R2"/>
    <mergeCell ref="N4:R4"/>
    <mergeCell ref="N24:R24"/>
    <mergeCell ref="G1:L1"/>
    <mergeCell ref="H2:L2"/>
    <mergeCell ref="H4:L4"/>
    <mergeCell ref="H24:L24"/>
    <mergeCell ref="D193:AC193"/>
    <mergeCell ref="D201:Y201"/>
    <mergeCell ref="D205:AC205"/>
    <mergeCell ref="D206:AC206"/>
    <mergeCell ref="Z25:AD25"/>
    <mergeCell ref="Z55:AD55"/>
    <mergeCell ref="T25:X25"/>
    <mergeCell ref="T55:X55"/>
    <mergeCell ref="N25:R25"/>
    <mergeCell ref="N55:R55"/>
    <mergeCell ref="H25:L25"/>
    <mergeCell ref="H55:L55"/>
    <mergeCell ref="D232:AC232"/>
    <mergeCell ref="D234:AC234"/>
    <mergeCell ref="D207:AC207"/>
    <mergeCell ref="D209:AC209"/>
    <mergeCell ref="D218:AC218"/>
    <mergeCell ref="D226:Y226"/>
    <mergeCell ref="D230:AC230"/>
    <mergeCell ref="D231:AC231"/>
    <mergeCell ref="AE1:AJ1"/>
    <mergeCell ref="AF25:AJ25"/>
    <mergeCell ref="AF55:AJ55"/>
    <mergeCell ref="AF4:AJ4"/>
    <mergeCell ref="AF2:AJ2"/>
    <mergeCell ref="AF24:AJ24"/>
  </mergeCells>
  <pageMargins left="0.70866141732283472" right="0.70866141732283472" top="0.39370078740157483" bottom="0.59055118110236227" header="0.31496062992125984" footer="0.31496062992125984"/>
  <pageSetup paperSize="8" scale="65" fitToHeight="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N219"/>
  <sheetViews>
    <sheetView workbookViewId="0">
      <selection activeCell="M29" sqref="M29"/>
    </sheetView>
  </sheetViews>
  <sheetFormatPr baseColWidth="10" defaultColWidth="11.42578125" defaultRowHeight="12.75" x14ac:dyDescent="0.2"/>
  <cols>
    <col min="1" max="1" width="11.42578125" style="33"/>
    <col min="2" max="3" width="21.140625" style="33" customWidth="1"/>
    <col min="4" max="4" width="49.42578125" style="33" customWidth="1"/>
    <col min="5" max="5" width="9.42578125" style="66" customWidth="1"/>
    <col min="6" max="10" width="9.42578125" style="33" customWidth="1"/>
    <col min="11" max="11" width="44.28515625" style="33" customWidth="1"/>
    <col min="12" max="16384" width="11.42578125" style="33"/>
  </cols>
  <sheetData>
    <row r="1" spans="1:14" ht="30.75" x14ac:dyDescent="0.45">
      <c r="A1" s="34">
        <v>1</v>
      </c>
      <c r="B1" s="35" t="s">
        <v>144</v>
      </c>
      <c r="E1" s="36"/>
      <c r="J1" s="37"/>
      <c r="K1" s="38"/>
      <c r="L1" s="39"/>
      <c r="M1" s="39"/>
      <c r="N1" s="39"/>
    </row>
    <row r="2" spans="1:14" ht="18" x14ac:dyDescent="0.2">
      <c r="A2" s="6">
        <v>1</v>
      </c>
      <c r="B2" s="77" t="s">
        <v>143</v>
      </c>
      <c r="C2" s="15"/>
      <c r="D2" s="15"/>
      <c r="E2" s="15"/>
      <c r="F2" s="15"/>
      <c r="G2" s="15"/>
      <c r="H2" s="15"/>
      <c r="I2" s="15"/>
      <c r="J2" s="15"/>
      <c r="K2" s="15"/>
      <c r="L2" s="15"/>
      <c r="M2" s="15"/>
      <c r="N2" s="15"/>
    </row>
    <row r="3" spans="1:14" ht="18" x14ac:dyDescent="0.2">
      <c r="C3" s="19"/>
      <c r="D3" s="19"/>
      <c r="E3" s="14"/>
      <c r="F3" s="19"/>
      <c r="G3" s="19"/>
      <c r="H3" s="19"/>
      <c r="I3" s="19"/>
      <c r="J3" s="19"/>
      <c r="K3" s="19"/>
      <c r="L3" s="19"/>
      <c r="M3" s="19"/>
      <c r="N3" s="19"/>
    </row>
    <row r="4" spans="1:14" ht="15" x14ac:dyDescent="0.25">
      <c r="C4" s="40"/>
      <c r="D4" s="40"/>
      <c r="E4" s="40"/>
      <c r="F4" s="40"/>
      <c r="G4" s="40"/>
      <c r="H4" s="40"/>
      <c r="I4" s="40"/>
      <c r="J4" s="40"/>
      <c r="K4" s="40"/>
      <c r="L4" s="41"/>
      <c r="M4" s="41"/>
      <c r="N4" s="41"/>
    </row>
    <row r="5" spans="1:14" ht="15" x14ac:dyDescent="0.25">
      <c r="C5" s="42"/>
      <c r="D5" s="42"/>
      <c r="E5" s="43"/>
      <c r="F5" s="42"/>
      <c r="G5" s="42"/>
      <c r="H5" s="42"/>
      <c r="I5" s="9"/>
      <c r="J5" s="42"/>
      <c r="K5" s="42"/>
      <c r="L5" s="41"/>
      <c r="M5" s="41"/>
      <c r="N5" s="41"/>
    </row>
    <row r="6" spans="1:14" x14ac:dyDescent="0.2">
      <c r="C6" s="9"/>
      <c r="D6" s="9"/>
      <c r="E6" s="44"/>
      <c r="F6" s="9"/>
      <c r="G6" s="9"/>
      <c r="H6" s="9"/>
      <c r="I6" s="9"/>
      <c r="J6" s="9"/>
      <c r="K6" s="44"/>
    </row>
    <row r="7" spans="1:14" x14ac:dyDescent="0.2">
      <c r="C7" s="9"/>
      <c r="D7" s="9"/>
      <c r="E7" s="44"/>
      <c r="F7" s="9"/>
      <c r="G7" s="9"/>
      <c r="H7" s="9"/>
      <c r="I7" s="9"/>
      <c r="J7" s="9"/>
      <c r="K7" s="9"/>
    </row>
    <row r="8" spans="1:14" x14ac:dyDescent="0.2">
      <c r="C8" s="9"/>
      <c r="D8" s="9"/>
      <c r="E8" s="44"/>
      <c r="F8" s="9"/>
      <c r="G8" s="9"/>
      <c r="H8" s="9"/>
      <c r="I8" s="9"/>
      <c r="J8" s="9"/>
      <c r="K8" s="9"/>
    </row>
    <row r="9" spans="1:14" x14ac:dyDescent="0.2">
      <c r="C9" s="9"/>
      <c r="D9" s="9"/>
      <c r="E9" s="44"/>
      <c r="F9" s="9"/>
      <c r="G9" s="9"/>
      <c r="H9" s="9"/>
      <c r="I9" s="9"/>
      <c r="J9" s="9"/>
      <c r="K9" s="9"/>
    </row>
    <row r="10" spans="1:14" ht="25.5" customHeight="1" x14ac:dyDescent="0.2">
      <c r="B10" s="33" t="s">
        <v>104</v>
      </c>
      <c r="C10" s="71" t="s">
        <v>145</v>
      </c>
      <c r="D10" s="71" t="s">
        <v>230</v>
      </c>
      <c r="E10" s="45"/>
      <c r="F10" s="46"/>
      <c r="G10" s="46"/>
      <c r="H10" s="46"/>
      <c r="I10" s="46"/>
      <c r="J10" s="46"/>
      <c r="K10" s="46"/>
    </row>
    <row r="11" spans="1:14" x14ac:dyDescent="0.2">
      <c r="A11" s="33">
        <v>1</v>
      </c>
      <c r="B11" s="33" t="str">
        <f>'Sprache+DB'!C151</f>
        <v>31 Zone de plaine</v>
      </c>
      <c r="C11" s="9" t="s">
        <v>131</v>
      </c>
      <c r="D11" s="9" t="str">
        <f>'Sprache+DB'!C157</f>
        <v>Exploitation simple</v>
      </c>
      <c r="E11" s="44"/>
      <c r="F11" s="20"/>
      <c r="G11" s="9"/>
      <c r="H11" s="9"/>
      <c r="I11" s="9"/>
      <c r="J11" s="9"/>
      <c r="K11" s="9"/>
    </row>
    <row r="12" spans="1:14" x14ac:dyDescent="0.2">
      <c r="A12" s="33">
        <f>A11+1</f>
        <v>2</v>
      </c>
      <c r="B12" s="33" t="str">
        <f>'Sprache+DB'!C152</f>
        <v>41 Zone des collines</v>
      </c>
      <c r="C12" s="47" t="s">
        <v>132</v>
      </c>
      <c r="D12" s="9" t="str">
        <f>'Sprache+DB'!C158</f>
        <v>Association / 1 exploitation</v>
      </c>
      <c r="E12" s="44"/>
      <c r="F12" s="9"/>
      <c r="G12" s="9"/>
      <c r="H12" s="48"/>
      <c r="I12" s="48"/>
      <c r="J12" s="9"/>
      <c r="K12" s="9"/>
    </row>
    <row r="13" spans="1:14" x14ac:dyDescent="0.2">
      <c r="A13" s="33">
        <f>A12+1</f>
        <v>3</v>
      </c>
      <c r="B13" s="33" t="str">
        <f>'Sprache+DB'!C153</f>
        <v>51 Zone de montagne 1</v>
      </c>
      <c r="C13" s="47"/>
      <c r="D13" s="9" t="str">
        <f>'Sprache+DB'!C159</f>
        <v>Communauté partielle</v>
      </c>
      <c r="E13" s="44"/>
      <c r="F13" s="9"/>
      <c r="G13" s="9"/>
      <c r="H13" s="48"/>
      <c r="I13" s="48"/>
      <c r="J13" s="9"/>
      <c r="K13" s="9"/>
    </row>
    <row r="14" spans="1:14" x14ac:dyDescent="0.2">
      <c r="A14" s="33">
        <f>A13+1</f>
        <v>4</v>
      </c>
      <c r="B14" s="33" t="str">
        <f>'Sprache+DB'!C154</f>
        <v>52 Zone de montagne 2</v>
      </c>
      <c r="C14" s="47"/>
      <c r="D14" s="9" t="str">
        <f>'Sprache+DB'!C160</f>
        <v>Communauté complète</v>
      </c>
      <c r="E14" s="44"/>
      <c r="F14" s="9"/>
      <c r="G14" s="9"/>
      <c r="H14" s="48"/>
      <c r="I14" s="48"/>
      <c r="J14" s="9"/>
      <c r="K14" s="9"/>
    </row>
    <row r="15" spans="1:14" x14ac:dyDescent="0.2">
      <c r="A15" s="33">
        <f>A14+1</f>
        <v>5</v>
      </c>
      <c r="B15" s="33" t="str">
        <f>'Sprache+DB'!C155</f>
        <v>53 Zone de montagne 3</v>
      </c>
      <c r="C15" s="47"/>
      <c r="D15" s="47"/>
      <c r="E15" s="44"/>
      <c r="F15" s="9"/>
      <c r="G15" s="9"/>
      <c r="H15" s="48"/>
      <c r="I15" s="48"/>
      <c r="J15" s="9"/>
      <c r="K15" s="9"/>
    </row>
    <row r="16" spans="1:14" x14ac:dyDescent="0.2">
      <c r="C16" s="47"/>
      <c r="D16" s="47"/>
      <c r="E16" s="44"/>
      <c r="F16" s="9"/>
      <c r="G16" s="9"/>
      <c r="H16" s="48"/>
      <c r="I16" s="48"/>
      <c r="J16" s="9"/>
      <c r="K16" s="9"/>
    </row>
    <row r="17" spans="3:11" x14ac:dyDescent="0.2">
      <c r="C17" s="20"/>
      <c r="D17" s="20"/>
      <c r="E17" s="44"/>
      <c r="F17" s="9"/>
      <c r="G17" s="9"/>
      <c r="H17" s="9"/>
      <c r="I17" s="9"/>
      <c r="J17" s="9"/>
      <c r="K17" s="9"/>
    </row>
    <row r="18" spans="3:11" x14ac:dyDescent="0.2">
      <c r="C18" s="47"/>
      <c r="D18" s="47"/>
      <c r="E18" s="44"/>
      <c r="F18" s="9"/>
      <c r="G18" s="9"/>
      <c r="H18" s="48"/>
      <c r="I18" s="48"/>
      <c r="J18" s="9"/>
      <c r="K18" s="9"/>
    </row>
    <row r="19" spans="3:11" x14ac:dyDescent="0.2">
      <c r="C19" s="47"/>
      <c r="D19" s="47"/>
      <c r="E19" s="44"/>
      <c r="F19" s="9"/>
      <c r="G19" s="9"/>
      <c r="H19" s="48"/>
      <c r="I19" s="48"/>
      <c r="J19" s="9"/>
      <c r="K19" s="9"/>
    </row>
    <row r="20" spans="3:11" x14ac:dyDescent="0.2">
      <c r="C20" s="47"/>
      <c r="D20" s="47"/>
      <c r="E20" s="44"/>
      <c r="F20" s="9"/>
      <c r="G20" s="9"/>
      <c r="H20" s="48"/>
      <c r="I20" s="48"/>
      <c r="J20" s="9"/>
      <c r="K20" s="9"/>
    </row>
    <row r="21" spans="3:11" x14ac:dyDescent="0.2">
      <c r="C21" s="47"/>
      <c r="D21" s="47"/>
      <c r="E21" s="44"/>
      <c r="F21" s="9"/>
      <c r="G21" s="9"/>
      <c r="H21" s="48"/>
      <c r="I21" s="48"/>
      <c r="J21" s="9"/>
      <c r="K21" s="9"/>
    </row>
    <row r="22" spans="3:11" x14ac:dyDescent="0.2">
      <c r="C22" s="47"/>
      <c r="D22" s="47"/>
      <c r="E22" s="44"/>
      <c r="F22" s="9"/>
      <c r="G22" s="9"/>
      <c r="H22" s="48"/>
      <c r="I22" s="48"/>
      <c r="J22" s="9"/>
      <c r="K22" s="9"/>
    </row>
    <row r="23" spans="3:11" x14ac:dyDescent="0.2">
      <c r="C23" s="20"/>
      <c r="D23" s="20"/>
      <c r="E23" s="44"/>
      <c r="F23" s="9"/>
      <c r="G23" s="9"/>
      <c r="H23" s="9"/>
      <c r="I23" s="9"/>
      <c r="J23" s="9"/>
      <c r="K23" s="9"/>
    </row>
    <row r="24" spans="3:11" x14ac:dyDescent="0.2">
      <c r="C24" s="47"/>
      <c r="D24" s="47"/>
      <c r="E24" s="44"/>
      <c r="F24" s="9"/>
      <c r="G24" s="9"/>
      <c r="H24" s="48"/>
      <c r="I24" s="48"/>
      <c r="J24" s="9"/>
      <c r="K24" s="9"/>
    </row>
    <row r="25" spans="3:11" x14ac:dyDescent="0.2">
      <c r="C25" s="47"/>
      <c r="D25" s="47"/>
      <c r="E25" s="44"/>
      <c r="F25" s="9"/>
      <c r="G25" s="9"/>
      <c r="H25" s="48"/>
      <c r="I25" s="48"/>
      <c r="J25" s="9"/>
      <c r="K25" s="9"/>
    </row>
    <row r="26" spans="3:11" x14ac:dyDescent="0.2">
      <c r="C26" s="47"/>
      <c r="D26" s="47"/>
      <c r="E26" s="44"/>
      <c r="F26" s="9"/>
      <c r="G26" s="9"/>
      <c r="H26" s="48"/>
      <c r="I26" s="48"/>
      <c r="J26" s="9"/>
      <c r="K26" s="9"/>
    </row>
    <row r="27" spans="3:11" x14ac:dyDescent="0.2">
      <c r="C27" s="47"/>
      <c r="D27" s="47"/>
      <c r="E27" s="44"/>
      <c r="F27" s="9"/>
      <c r="G27" s="9"/>
      <c r="H27" s="48"/>
      <c r="I27" s="48"/>
      <c r="J27" s="9"/>
      <c r="K27" s="9"/>
    </row>
    <row r="28" spans="3:11" x14ac:dyDescent="0.2">
      <c r="C28" s="47"/>
      <c r="D28" s="47"/>
      <c r="E28" s="44"/>
      <c r="F28" s="9"/>
      <c r="G28" s="9"/>
      <c r="H28" s="48"/>
      <c r="I28" s="48"/>
      <c r="J28" s="9"/>
      <c r="K28" s="9"/>
    </row>
    <row r="29" spans="3:11" x14ac:dyDescent="0.2">
      <c r="C29" s="49"/>
      <c r="D29" s="49"/>
      <c r="E29" s="44"/>
      <c r="F29" s="20"/>
      <c r="G29" s="9"/>
      <c r="H29" s="9"/>
      <c r="I29" s="9"/>
      <c r="J29" s="9"/>
      <c r="K29" s="9"/>
    </row>
    <row r="30" spans="3:11" x14ac:dyDescent="0.2">
      <c r="C30" s="47"/>
      <c r="D30" s="47"/>
      <c r="E30" s="44"/>
      <c r="F30" s="9"/>
      <c r="G30" s="9"/>
      <c r="H30" s="50"/>
      <c r="I30" s="50"/>
      <c r="J30" s="9"/>
      <c r="K30" s="9"/>
    </row>
    <row r="31" spans="3:11" x14ac:dyDescent="0.2">
      <c r="C31" s="47"/>
      <c r="D31" s="47"/>
      <c r="E31" s="44"/>
      <c r="F31" s="9"/>
      <c r="G31" s="9"/>
      <c r="H31" s="50"/>
      <c r="I31" s="50"/>
      <c r="J31" s="9"/>
      <c r="K31" s="9"/>
    </row>
    <row r="32" spans="3:11" x14ac:dyDescent="0.2">
      <c r="C32" s="47"/>
      <c r="D32" s="47"/>
      <c r="E32" s="44"/>
      <c r="F32" s="9"/>
      <c r="G32" s="9"/>
      <c r="H32" s="50"/>
      <c r="I32" s="50"/>
      <c r="J32" s="9"/>
      <c r="K32" s="9"/>
    </row>
    <row r="33" spans="3:11" x14ac:dyDescent="0.2">
      <c r="C33" s="47"/>
      <c r="D33" s="47"/>
      <c r="E33" s="44"/>
      <c r="F33" s="9"/>
      <c r="G33" s="9"/>
      <c r="H33" s="50"/>
      <c r="I33" s="50"/>
      <c r="J33" s="9"/>
      <c r="K33" s="9"/>
    </row>
    <row r="34" spans="3:11" x14ac:dyDescent="0.2">
      <c r="C34" s="47"/>
      <c r="D34" s="47"/>
      <c r="E34" s="44"/>
      <c r="F34" s="9"/>
      <c r="G34" s="9"/>
      <c r="H34" s="50"/>
      <c r="I34" s="50"/>
      <c r="J34" s="9"/>
      <c r="K34" s="9"/>
    </row>
    <row r="35" spans="3:11" x14ac:dyDescent="0.2">
      <c r="C35" s="20"/>
      <c r="D35" s="20"/>
      <c r="E35" s="44"/>
      <c r="F35" s="20"/>
      <c r="G35" s="9"/>
      <c r="H35" s="9"/>
      <c r="I35" s="9"/>
      <c r="J35" s="9"/>
      <c r="K35" s="9"/>
    </row>
    <row r="36" spans="3:11" x14ac:dyDescent="0.2">
      <c r="C36" s="47"/>
      <c r="D36" s="47"/>
      <c r="E36" s="44"/>
      <c r="F36" s="9"/>
      <c r="G36" s="9"/>
      <c r="H36" s="50"/>
      <c r="I36" s="50"/>
      <c r="J36" s="9"/>
      <c r="K36" s="9"/>
    </row>
    <row r="37" spans="3:11" x14ac:dyDescent="0.2">
      <c r="C37" s="47"/>
      <c r="D37" s="47"/>
      <c r="E37" s="44"/>
      <c r="F37" s="9"/>
      <c r="G37" s="9"/>
      <c r="H37" s="50"/>
      <c r="I37" s="50"/>
      <c r="J37" s="9"/>
      <c r="K37" s="9"/>
    </row>
    <row r="38" spans="3:11" x14ac:dyDescent="0.2">
      <c r="C38" s="47"/>
      <c r="D38" s="47"/>
      <c r="E38" s="44"/>
      <c r="F38" s="9"/>
      <c r="G38" s="9"/>
      <c r="H38" s="50"/>
      <c r="I38" s="50"/>
      <c r="J38" s="9"/>
      <c r="K38" s="9"/>
    </row>
    <row r="39" spans="3:11" x14ac:dyDescent="0.2">
      <c r="C39" s="47"/>
      <c r="D39" s="47"/>
      <c r="E39" s="44"/>
      <c r="F39" s="9"/>
      <c r="G39" s="9"/>
      <c r="H39" s="50"/>
      <c r="I39" s="50"/>
      <c r="J39" s="9"/>
      <c r="K39" s="9"/>
    </row>
    <row r="40" spans="3:11" x14ac:dyDescent="0.2">
      <c r="C40" s="47"/>
      <c r="D40" s="47"/>
      <c r="E40" s="44"/>
      <c r="F40" s="9"/>
      <c r="G40" s="9"/>
      <c r="H40" s="50"/>
      <c r="I40" s="50"/>
      <c r="J40" s="9"/>
      <c r="K40" s="9"/>
    </row>
    <row r="41" spans="3:11" x14ac:dyDescent="0.2">
      <c r="C41" s="20"/>
      <c r="D41" s="20"/>
      <c r="E41" s="44"/>
      <c r="F41" s="20"/>
      <c r="G41" s="9"/>
      <c r="H41" s="9"/>
      <c r="I41" s="9"/>
      <c r="J41" s="9"/>
      <c r="K41" s="9"/>
    </row>
    <row r="42" spans="3:11" x14ac:dyDescent="0.2">
      <c r="C42" s="47"/>
      <c r="D42" s="47"/>
      <c r="E42" s="51"/>
      <c r="F42" s="47"/>
      <c r="G42" s="44"/>
      <c r="H42" s="50"/>
      <c r="I42" s="50"/>
      <c r="J42" s="9"/>
      <c r="K42" s="9"/>
    </row>
    <row r="43" spans="3:11" x14ac:dyDescent="0.2">
      <c r="C43" s="47"/>
      <c r="D43" s="47"/>
      <c r="E43" s="44"/>
      <c r="F43" s="52"/>
      <c r="G43" s="53"/>
      <c r="H43" s="52"/>
      <c r="I43" s="52"/>
      <c r="J43" s="52"/>
      <c r="K43" s="54"/>
    </row>
    <row r="44" spans="3:11" x14ac:dyDescent="0.2">
      <c r="C44" s="47"/>
      <c r="D44" s="47"/>
      <c r="E44" s="44"/>
      <c r="F44" s="47"/>
      <c r="G44" s="44"/>
      <c r="H44" s="50"/>
      <c r="I44" s="50"/>
      <c r="J44" s="9"/>
      <c r="K44" s="9"/>
    </row>
    <row r="45" spans="3:11" x14ac:dyDescent="0.2">
      <c r="C45" s="47"/>
      <c r="D45" s="47"/>
      <c r="E45" s="44"/>
      <c r="F45" s="47"/>
      <c r="G45" s="44"/>
      <c r="H45" s="50"/>
      <c r="I45" s="50"/>
      <c r="J45" s="9"/>
      <c r="K45" s="9"/>
    </row>
    <row r="46" spans="3:11" x14ac:dyDescent="0.2">
      <c r="C46" s="47"/>
      <c r="D46" s="47"/>
      <c r="E46" s="44"/>
      <c r="F46" s="44"/>
      <c r="G46" s="44"/>
      <c r="H46" s="50"/>
      <c r="I46" s="50"/>
      <c r="J46" s="9"/>
      <c r="K46" s="9"/>
    </row>
    <row r="47" spans="3:11" x14ac:dyDescent="0.2">
      <c r="C47" s="20"/>
      <c r="D47" s="20"/>
      <c r="E47" s="44"/>
      <c r="F47" s="20"/>
      <c r="G47" s="9"/>
      <c r="H47" s="9"/>
      <c r="I47" s="9"/>
      <c r="J47" s="9"/>
      <c r="K47" s="9"/>
    </row>
    <row r="48" spans="3:11" x14ac:dyDescent="0.2">
      <c r="C48" s="47"/>
      <c r="D48" s="47"/>
      <c r="E48" s="55"/>
      <c r="F48" s="9"/>
      <c r="G48" s="53"/>
      <c r="H48" s="53"/>
      <c r="I48" s="54"/>
      <c r="J48" s="9"/>
      <c r="K48" s="9"/>
    </row>
    <row r="49" spans="3:11" x14ac:dyDescent="0.2">
      <c r="C49" s="47"/>
      <c r="D49" s="47"/>
      <c r="E49" s="56"/>
      <c r="F49" s="44"/>
      <c r="G49" s="44"/>
      <c r="H49" s="50"/>
      <c r="I49" s="50"/>
      <c r="J49" s="9"/>
      <c r="K49" s="9"/>
    </row>
    <row r="50" spans="3:11" x14ac:dyDescent="0.2">
      <c r="C50" s="47"/>
      <c r="D50" s="47"/>
      <c r="E50" s="44"/>
      <c r="F50" s="57"/>
      <c r="G50" s="44"/>
      <c r="H50" s="50"/>
      <c r="I50" s="50"/>
      <c r="J50" s="9"/>
      <c r="K50" s="9"/>
    </row>
    <row r="51" spans="3:11" x14ac:dyDescent="0.2">
      <c r="C51" s="47"/>
      <c r="D51" s="47"/>
      <c r="E51" s="44"/>
      <c r="F51" s="44"/>
      <c r="G51" s="44"/>
      <c r="H51" s="50"/>
      <c r="I51" s="50"/>
      <c r="J51" s="9"/>
      <c r="K51" s="9"/>
    </row>
    <row r="52" spans="3:11" x14ac:dyDescent="0.2">
      <c r="C52" s="47"/>
      <c r="D52" s="47"/>
      <c r="E52" s="44"/>
      <c r="F52" s="44"/>
      <c r="G52" s="44"/>
      <c r="H52" s="50"/>
      <c r="I52" s="50"/>
      <c r="J52" s="9"/>
      <c r="K52" s="9"/>
    </row>
    <row r="53" spans="3:11" x14ac:dyDescent="0.2">
      <c r="C53" s="20"/>
      <c r="D53" s="20"/>
      <c r="E53" s="44"/>
      <c r="F53" s="20"/>
      <c r="G53" s="9"/>
      <c r="H53" s="9"/>
      <c r="I53" s="9"/>
      <c r="J53" s="9"/>
      <c r="K53" s="9"/>
    </row>
    <row r="54" spans="3:11" x14ac:dyDescent="0.2">
      <c r="C54" s="47"/>
      <c r="D54" s="47"/>
      <c r="E54" s="44"/>
      <c r="F54" s="44"/>
      <c r="G54" s="44"/>
      <c r="H54" s="50"/>
      <c r="I54" s="50"/>
      <c r="J54" s="9"/>
      <c r="K54" s="9"/>
    </row>
    <row r="55" spans="3:11" x14ac:dyDescent="0.2">
      <c r="C55" s="47"/>
      <c r="D55" s="47"/>
      <c r="E55" s="44"/>
      <c r="F55" s="44"/>
      <c r="G55" s="44"/>
      <c r="H55" s="50"/>
      <c r="I55" s="50"/>
      <c r="J55" s="9"/>
      <c r="K55" s="9"/>
    </row>
    <row r="56" spans="3:11" x14ac:dyDescent="0.2">
      <c r="C56" s="47"/>
      <c r="D56" s="47"/>
      <c r="E56" s="44"/>
      <c r="F56" s="44"/>
      <c r="G56" s="44"/>
      <c r="H56" s="50"/>
      <c r="I56" s="50"/>
      <c r="J56" s="9"/>
      <c r="K56" s="9"/>
    </row>
    <row r="57" spans="3:11" x14ac:dyDescent="0.2">
      <c r="C57" s="47"/>
      <c r="D57" s="47"/>
      <c r="E57" s="44"/>
      <c r="F57" s="9"/>
      <c r="G57" s="9"/>
      <c r="H57" s="9"/>
      <c r="I57" s="9"/>
      <c r="J57" s="9"/>
      <c r="K57" s="9"/>
    </row>
    <row r="58" spans="3:11" x14ac:dyDescent="0.2">
      <c r="C58" s="47"/>
      <c r="D58" s="47"/>
      <c r="E58" s="44"/>
      <c r="F58" s="9"/>
      <c r="G58" s="9"/>
      <c r="H58" s="9"/>
      <c r="I58" s="9"/>
      <c r="J58" s="9"/>
      <c r="K58" s="9"/>
    </row>
    <row r="59" spans="3:11" x14ac:dyDescent="0.2">
      <c r="C59" s="45"/>
      <c r="D59" s="45"/>
      <c r="E59" s="45"/>
      <c r="F59" s="45"/>
      <c r="G59" s="46"/>
      <c r="H59" s="46"/>
      <c r="I59" s="46"/>
      <c r="J59" s="46"/>
      <c r="K59" s="46"/>
    </row>
    <row r="60" spans="3:11" x14ac:dyDescent="0.2">
      <c r="C60" s="46"/>
      <c r="D60" s="46"/>
      <c r="E60" s="45"/>
      <c r="F60" s="46"/>
      <c r="G60" s="46"/>
      <c r="H60" s="46"/>
      <c r="I60" s="46"/>
      <c r="J60" s="46"/>
      <c r="K60" s="46"/>
    </row>
    <row r="61" spans="3:11" x14ac:dyDescent="0.2">
      <c r="C61" s="58"/>
      <c r="D61" s="58"/>
      <c r="E61" s="59"/>
      <c r="F61" s="60"/>
      <c r="G61" s="60"/>
      <c r="H61" s="60"/>
      <c r="I61" s="60"/>
      <c r="J61" s="60"/>
      <c r="K61" s="60"/>
    </row>
    <row r="62" spans="3:11" x14ac:dyDescent="0.2">
      <c r="C62" s="9"/>
      <c r="D62" s="9"/>
      <c r="E62" s="52"/>
      <c r="F62" s="9"/>
      <c r="G62" s="9"/>
      <c r="H62" s="9"/>
      <c r="I62" s="9"/>
      <c r="J62" s="9"/>
      <c r="K62" s="54"/>
    </row>
    <row r="63" spans="3:11" x14ac:dyDescent="0.2">
      <c r="C63" s="47"/>
      <c r="D63" s="47"/>
      <c r="E63" s="44"/>
      <c r="F63" s="9"/>
      <c r="G63" s="9"/>
      <c r="H63" s="9"/>
      <c r="I63" s="9"/>
      <c r="J63" s="9"/>
      <c r="K63" s="54"/>
    </row>
    <row r="64" spans="3:11" x14ac:dyDescent="0.2">
      <c r="C64" s="47"/>
      <c r="D64" s="47"/>
      <c r="E64" s="44"/>
      <c r="F64" s="9"/>
      <c r="G64" s="9"/>
      <c r="H64" s="9"/>
      <c r="I64" s="9"/>
      <c r="J64" s="9"/>
      <c r="K64" s="54"/>
    </row>
    <row r="65" spans="3:11" x14ac:dyDescent="0.2">
      <c r="C65" s="9"/>
      <c r="D65" s="9"/>
      <c r="E65" s="44"/>
      <c r="F65" s="9"/>
      <c r="G65" s="9"/>
      <c r="H65" s="9"/>
      <c r="I65" s="9"/>
      <c r="J65" s="9"/>
      <c r="K65" s="54"/>
    </row>
    <row r="66" spans="3:11" x14ac:dyDescent="0.2">
      <c r="C66" s="9"/>
      <c r="D66" s="9"/>
      <c r="E66" s="44"/>
      <c r="F66" s="9"/>
      <c r="G66" s="9"/>
      <c r="H66" s="9"/>
      <c r="I66" s="9"/>
      <c r="J66" s="9"/>
      <c r="K66" s="54"/>
    </row>
    <row r="67" spans="3:11" x14ac:dyDescent="0.2">
      <c r="C67" s="9"/>
      <c r="D67" s="9"/>
      <c r="E67" s="44"/>
      <c r="F67" s="9"/>
      <c r="G67" s="9"/>
      <c r="H67" s="9"/>
      <c r="I67" s="9"/>
      <c r="J67" s="9"/>
      <c r="K67" s="54"/>
    </row>
    <row r="68" spans="3:11" x14ac:dyDescent="0.2">
      <c r="C68" s="9"/>
      <c r="D68" s="9"/>
      <c r="E68" s="44"/>
      <c r="F68" s="9"/>
      <c r="G68" s="9"/>
      <c r="H68" s="9"/>
      <c r="I68" s="9"/>
      <c r="J68" s="9"/>
      <c r="K68" s="54"/>
    </row>
    <row r="69" spans="3:11" x14ac:dyDescent="0.2">
      <c r="C69" s="61"/>
      <c r="D69" s="61"/>
      <c r="E69" s="52"/>
      <c r="F69" s="9"/>
      <c r="G69" s="9"/>
      <c r="H69" s="9"/>
      <c r="I69" s="9"/>
      <c r="J69" s="9"/>
      <c r="K69" s="47"/>
    </row>
    <row r="70" spans="3:11" x14ac:dyDescent="0.2">
      <c r="C70" s="9"/>
      <c r="D70" s="9"/>
      <c r="E70" s="52"/>
      <c r="F70" s="9"/>
      <c r="G70" s="9"/>
      <c r="H70" s="9"/>
      <c r="I70" s="9"/>
      <c r="J70" s="9"/>
      <c r="K70" s="54"/>
    </row>
    <row r="71" spans="3:11" x14ac:dyDescent="0.2">
      <c r="C71" s="9"/>
      <c r="D71" s="9"/>
      <c r="E71" s="52"/>
      <c r="F71" s="44"/>
      <c r="G71" s="9"/>
      <c r="H71" s="44"/>
      <c r="I71" s="44"/>
      <c r="J71" s="44"/>
      <c r="K71" s="54"/>
    </row>
    <row r="72" spans="3:11" x14ac:dyDescent="0.2">
      <c r="C72" s="9"/>
      <c r="D72" s="9"/>
      <c r="E72" s="52"/>
      <c r="F72" s="9"/>
      <c r="G72" s="9"/>
      <c r="H72" s="9"/>
      <c r="I72" s="9"/>
      <c r="J72" s="9"/>
      <c r="K72" s="54"/>
    </row>
    <row r="73" spans="3:11" x14ac:dyDescent="0.2">
      <c r="C73" s="9"/>
      <c r="D73" s="9"/>
      <c r="E73" s="52"/>
      <c r="F73" s="9"/>
      <c r="G73" s="9"/>
      <c r="H73" s="9"/>
      <c r="I73" s="9"/>
      <c r="J73" s="9"/>
      <c r="K73" s="54"/>
    </row>
    <row r="74" spans="3:11" x14ac:dyDescent="0.2">
      <c r="C74" s="9"/>
      <c r="D74" s="9"/>
      <c r="E74" s="44"/>
      <c r="F74" s="9"/>
      <c r="G74" s="9"/>
      <c r="H74" s="9"/>
      <c r="I74" s="9"/>
      <c r="J74" s="9"/>
      <c r="K74" s="54"/>
    </row>
    <row r="75" spans="3:11" x14ac:dyDescent="0.2">
      <c r="C75" s="9"/>
      <c r="D75" s="54"/>
      <c r="E75" s="44"/>
      <c r="F75" s="9"/>
      <c r="G75" s="9"/>
      <c r="H75" s="9"/>
      <c r="I75" s="9"/>
      <c r="J75" s="9"/>
      <c r="K75" s="9"/>
    </row>
    <row r="76" spans="3:11" x14ac:dyDescent="0.2">
      <c r="C76" s="58"/>
      <c r="D76" s="58"/>
      <c r="E76" s="59"/>
      <c r="F76" s="62"/>
      <c r="G76" s="9"/>
      <c r="H76" s="54"/>
      <c r="I76" s="9"/>
      <c r="J76" s="9"/>
      <c r="K76" s="9"/>
    </row>
    <row r="77" spans="3:11" x14ac:dyDescent="0.2">
      <c r="C77" s="63"/>
      <c r="D77" s="54"/>
      <c r="E77" s="44"/>
      <c r="F77" s="54"/>
      <c r="G77" s="9"/>
      <c r="H77" s="54"/>
      <c r="I77" s="9"/>
      <c r="J77" s="9"/>
      <c r="K77" s="54"/>
    </row>
    <row r="78" spans="3:11" x14ac:dyDescent="0.2">
      <c r="C78" s="54"/>
      <c r="D78" s="54"/>
      <c r="E78" s="44"/>
      <c r="F78" s="54"/>
      <c r="G78" s="9"/>
      <c r="H78" s="54"/>
      <c r="I78" s="9"/>
      <c r="J78" s="9"/>
      <c r="K78" s="54"/>
    </row>
    <row r="79" spans="3:11" x14ac:dyDescent="0.2">
      <c r="C79" s="54"/>
      <c r="D79" s="54"/>
      <c r="E79" s="44"/>
      <c r="F79" s="54"/>
      <c r="G79" s="9"/>
      <c r="H79" s="9"/>
      <c r="I79" s="9"/>
      <c r="J79" s="9"/>
      <c r="K79" s="54"/>
    </row>
    <row r="80" spans="3:11" x14ac:dyDescent="0.2">
      <c r="C80" s="54"/>
      <c r="D80" s="54"/>
      <c r="E80" s="44"/>
      <c r="F80" s="54"/>
      <c r="G80" s="9"/>
      <c r="H80" s="9"/>
      <c r="I80" s="9"/>
      <c r="J80" s="9"/>
      <c r="K80" s="54"/>
    </row>
    <row r="81" spans="3:11" x14ac:dyDescent="0.2">
      <c r="C81" s="54"/>
      <c r="D81" s="54"/>
      <c r="E81" s="44"/>
      <c r="F81" s="54"/>
      <c r="G81" s="9"/>
      <c r="H81" s="9"/>
      <c r="I81" s="9"/>
      <c r="J81" s="9"/>
      <c r="K81" s="9"/>
    </row>
    <row r="82" spans="3:11" x14ac:dyDescent="0.2">
      <c r="C82" s="54"/>
      <c r="D82" s="54"/>
      <c r="E82" s="44"/>
      <c r="F82" s="54"/>
      <c r="G82" s="9"/>
      <c r="H82" s="9"/>
      <c r="I82" s="9"/>
      <c r="J82" s="9"/>
      <c r="K82" s="9"/>
    </row>
    <row r="83" spans="3:11" x14ac:dyDescent="0.2">
      <c r="C83" s="54"/>
      <c r="D83" s="54"/>
      <c r="E83" s="44"/>
      <c r="F83" s="54"/>
      <c r="G83" s="9"/>
      <c r="H83" s="9"/>
      <c r="I83" s="9"/>
      <c r="J83" s="9"/>
      <c r="K83" s="9"/>
    </row>
    <row r="84" spans="3:11" x14ac:dyDescent="0.2">
      <c r="C84" s="54"/>
      <c r="D84" s="54"/>
      <c r="E84" s="44"/>
      <c r="F84" s="54"/>
      <c r="G84" s="9"/>
      <c r="H84" s="9"/>
      <c r="I84" s="9"/>
      <c r="J84" s="9"/>
      <c r="K84" s="54"/>
    </row>
    <row r="85" spans="3:11" x14ac:dyDescent="0.2">
      <c r="C85" s="54"/>
      <c r="D85" s="54"/>
      <c r="E85" s="44"/>
      <c r="F85" s="54"/>
      <c r="G85" s="9"/>
      <c r="H85" s="9"/>
      <c r="I85" s="9"/>
      <c r="J85" s="9"/>
      <c r="K85" s="54"/>
    </row>
    <row r="86" spans="3:11" x14ac:dyDescent="0.2">
      <c r="C86" s="54"/>
      <c r="D86" s="54"/>
      <c r="E86" s="44"/>
      <c r="F86" s="9"/>
      <c r="G86" s="9"/>
      <c r="H86" s="9"/>
      <c r="I86" s="9"/>
      <c r="J86" s="9"/>
      <c r="K86" s="54"/>
    </row>
    <row r="87" spans="3:11" x14ac:dyDescent="0.2">
      <c r="C87" s="54"/>
      <c r="D87" s="54"/>
      <c r="E87" s="44"/>
      <c r="F87" s="54"/>
      <c r="G87" s="9"/>
      <c r="H87" s="9"/>
      <c r="I87" s="9"/>
      <c r="J87" s="9"/>
      <c r="K87" s="9"/>
    </row>
    <row r="88" spans="3:11" x14ac:dyDescent="0.2">
      <c r="C88" s="54"/>
      <c r="D88" s="54"/>
      <c r="E88" s="44"/>
      <c r="F88" s="54"/>
      <c r="G88" s="9"/>
      <c r="H88" s="9"/>
      <c r="I88" s="9"/>
      <c r="J88" s="9"/>
      <c r="K88" s="9"/>
    </row>
    <row r="89" spans="3:11" x14ac:dyDescent="0.2">
      <c r="C89" s="54"/>
      <c r="D89" s="54"/>
      <c r="E89" s="44"/>
      <c r="F89" s="54"/>
      <c r="G89" s="9"/>
      <c r="H89" s="9"/>
      <c r="I89" s="9"/>
      <c r="J89" s="9"/>
      <c r="K89" s="54"/>
    </row>
    <row r="90" spans="3:11" x14ac:dyDescent="0.2">
      <c r="C90" s="54"/>
      <c r="D90" s="54"/>
      <c r="E90" s="44"/>
      <c r="F90" s="54"/>
      <c r="G90" s="9"/>
      <c r="H90" s="9"/>
      <c r="I90" s="9"/>
      <c r="J90" s="9"/>
      <c r="K90" s="54"/>
    </row>
    <row r="91" spans="3:11" x14ac:dyDescent="0.2">
      <c r="C91" s="54"/>
      <c r="D91" s="54"/>
      <c r="E91" s="44"/>
      <c r="F91" s="54"/>
      <c r="G91" s="9"/>
      <c r="H91" s="9"/>
      <c r="I91" s="9"/>
      <c r="J91" s="9"/>
      <c r="K91" s="54"/>
    </row>
    <row r="92" spans="3:11" x14ac:dyDescent="0.2">
      <c r="C92" s="54"/>
      <c r="D92" s="54"/>
      <c r="E92" s="44"/>
      <c r="F92" s="54"/>
      <c r="G92" s="9"/>
      <c r="H92" s="9"/>
      <c r="I92" s="9"/>
      <c r="J92" s="9"/>
      <c r="K92" s="54"/>
    </row>
    <row r="93" spans="3:11" x14ac:dyDescent="0.2">
      <c r="C93" s="54"/>
      <c r="D93" s="54"/>
      <c r="E93" s="44"/>
      <c r="F93" s="54"/>
      <c r="G93" s="9"/>
      <c r="H93" s="9"/>
      <c r="I93" s="9"/>
      <c r="J93" s="9"/>
      <c r="K93" s="54"/>
    </row>
    <row r="94" spans="3:11" x14ac:dyDescent="0.2">
      <c r="C94" s="54"/>
      <c r="D94" s="54"/>
      <c r="E94" s="44"/>
      <c r="F94" s="54"/>
      <c r="G94" s="9"/>
      <c r="H94" s="9"/>
      <c r="I94" s="9"/>
      <c r="J94" s="9"/>
      <c r="K94" s="54"/>
    </row>
    <row r="95" spans="3:11" x14ac:dyDescent="0.2">
      <c r="C95" s="54"/>
      <c r="D95" s="54"/>
      <c r="E95" s="44"/>
      <c r="F95" s="54"/>
      <c r="G95" s="9"/>
      <c r="H95" s="9"/>
      <c r="I95" s="9"/>
      <c r="J95" s="9"/>
      <c r="K95" s="54"/>
    </row>
    <row r="96" spans="3:11" x14ac:dyDescent="0.2">
      <c r="C96" s="54"/>
      <c r="D96" s="54"/>
      <c r="E96" s="44"/>
      <c r="F96" s="54"/>
      <c r="G96" s="9"/>
      <c r="H96" s="9"/>
      <c r="I96" s="9"/>
      <c r="J96" s="9"/>
      <c r="K96" s="54"/>
    </row>
    <row r="97" spans="3:11" x14ac:dyDescent="0.2">
      <c r="C97" s="54"/>
      <c r="D97" s="54"/>
      <c r="E97" s="44"/>
      <c r="F97" s="44"/>
      <c r="G97" s="9"/>
      <c r="H97" s="9"/>
      <c r="I97" s="9"/>
      <c r="J97" s="9"/>
      <c r="K97" s="54"/>
    </row>
    <row r="98" spans="3:11" x14ac:dyDescent="0.2">
      <c r="C98" s="54"/>
      <c r="D98" s="54"/>
      <c r="E98" s="44"/>
      <c r="F98" s="44"/>
      <c r="G98" s="9"/>
      <c r="H98" s="9"/>
      <c r="I98" s="9"/>
      <c r="J98" s="9"/>
      <c r="K98" s="54"/>
    </row>
    <row r="99" spans="3:11" x14ac:dyDescent="0.2">
      <c r="C99" s="54"/>
      <c r="D99" s="54"/>
      <c r="E99" s="44"/>
      <c r="F99" s="44"/>
      <c r="G99" s="9"/>
      <c r="H99" s="9"/>
      <c r="I99" s="9"/>
      <c r="J99" s="9"/>
      <c r="K99" s="54"/>
    </row>
    <row r="100" spans="3:11" x14ac:dyDescent="0.2">
      <c r="C100" s="54"/>
      <c r="D100" s="54"/>
      <c r="E100" s="44"/>
      <c r="F100" s="44"/>
      <c r="G100" s="9"/>
      <c r="H100" s="9"/>
      <c r="I100" s="9"/>
      <c r="J100" s="9"/>
      <c r="K100" s="54"/>
    </row>
    <row r="101" spans="3:11" x14ac:dyDescent="0.2">
      <c r="C101" s="54"/>
      <c r="D101" s="54"/>
      <c r="E101" s="44"/>
      <c r="F101" s="44"/>
      <c r="G101" s="9"/>
      <c r="H101" s="9"/>
      <c r="I101" s="9"/>
      <c r="J101" s="9"/>
      <c r="K101" s="54"/>
    </row>
    <row r="102" spans="3:11" x14ac:dyDescent="0.2">
      <c r="C102" s="54"/>
      <c r="D102" s="54"/>
      <c r="E102" s="44"/>
      <c r="F102" s="44"/>
      <c r="G102" s="9"/>
      <c r="H102" s="9"/>
      <c r="I102" s="9"/>
      <c r="J102" s="9"/>
      <c r="K102" s="54"/>
    </row>
    <row r="103" spans="3:11" x14ac:dyDescent="0.2">
      <c r="C103" s="58"/>
      <c r="D103" s="58"/>
      <c r="E103" s="44"/>
      <c r="F103" s="9"/>
      <c r="G103" s="9"/>
      <c r="H103" s="9"/>
      <c r="I103" s="9"/>
      <c r="J103" s="9"/>
      <c r="K103" s="9"/>
    </row>
    <row r="104" spans="3:11" x14ac:dyDescent="0.2">
      <c r="C104" s="54"/>
      <c r="D104" s="54"/>
      <c r="E104" s="44"/>
      <c r="F104" s="54"/>
      <c r="G104" s="9"/>
      <c r="H104" s="9"/>
      <c r="I104" s="9"/>
      <c r="J104" s="9"/>
      <c r="K104" s="54"/>
    </row>
    <row r="105" spans="3:11" x14ac:dyDescent="0.2">
      <c r="C105" s="54"/>
      <c r="D105" s="54"/>
      <c r="E105" s="44"/>
      <c r="F105" s="54"/>
      <c r="G105" s="9"/>
      <c r="H105" s="9"/>
      <c r="I105" s="9"/>
      <c r="J105" s="9"/>
      <c r="K105" s="54"/>
    </row>
    <row r="106" spans="3:11" x14ac:dyDescent="0.2">
      <c r="C106" s="54"/>
      <c r="D106" s="54"/>
      <c r="E106" s="44"/>
      <c r="F106" s="54"/>
      <c r="G106" s="9"/>
      <c r="H106" s="9"/>
      <c r="I106" s="9"/>
      <c r="J106" s="9"/>
      <c r="K106" s="54"/>
    </row>
    <row r="107" spans="3:11" x14ac:dyDescent="0.2">
      <c r="C107" s="54"/>
      <c r="D107" s="54"/>
      <c r="E107" s="44"/>
      <c r="F107" s="54"/>
      <c r="G107" s="9"/>
      <c r="H107" s="9"/>
      <c r="I107" s="9"/>
      <c r="J107" s="9"/>
      <c r="K107" s="9"/>
    </row>
    <row r="108" spans="3:11" x14ac:dyDescent="0.2">
      <c r="C108" s="54"/>
      <c r="D108" s="54"/>
      <c r="E108" s="44"/>
      <c r="F108" s="44"/>
      <c r="G108" s="9"/>
      <c r="H108" s="9"/>
      <c r="I108" s="9"/>
      <c r="J108" s="9"/>
      <c r="K108" s="54"/>
    </row>
    <row r="109" spans="3:11" x14ac:dyDescent="0.2">
      <c r="C109" s="54"/>
      <c r="D109" s="54"/>
      <c r="E109" s="44"/>
      <c r="F109" s="44"/>
      <c r="G109" s="9"/>
      <c r="H109" s="9"/>
      <c r="I109" s="9"/>
      <c r="J109" s="9"/>
      <c r="K109" s="54"/>
    </row>
    <row r="110" spans="3:11" x14ac:dyDescent="0.2">
      <c r="C110" s="54"/>
      <c r="D110" s="54"/>
      <c r="E110" s="44"/>
      <c r="F110" s="44"/>
      <c r="G110" s="9"/>
      <c r="H110" s="9"/>
      <c r="I110" s="9"/>
      <c r="J110" s="9"/>
      <c r="K110" s="54"/>
    </row>
    <row r="111" spans="3:11" x14ac:dyDescent="0.2">
      <c r="C111" s="54"/>
      <c r="D111" s="54"/>
      <c r="E111" s="44"/>
      <c r="F111" s="44"/>
      <c r="G111" s="9"/>
      <c r="H111" s="9"/>
      <c r="I111" s="9"/>
      <c r="J111" s="9"/>
      <c r="K111" s="54"/>
    </row>
    <row r="112" spans="3:11" x14ac:dyDescent="0.2">
      <c r="C112" s="54"/>
      <c r="D112" s="54"/>
      <c r="E112" s="44"/>
      <c r="F112" s="44"/>
      <c r="G112" s="9"/>
      <c r="H112" s="9"/>
      <c r="I112" s="9"/>
      <c r="J112" s="9"/>
      <c r="K112" s="54"/>
    </row>
    <row r="113" spans="1:11" x14ac:dyDescent="0.2">
      <c r="C113" s="54"/>
      <c r="D113" s="54"/>
      <c r="E113" s="44"/>
      <c r="F113" s="44"/>
      <c r="G113" s="9"/>
      <c r="H113" s="9"/>
      <c r="I113" s="9"/>
      <c r="J113" s="9"/>
      <c r="K113" s="54"/>
    </row>
    <row r="114" spans="1:11" x14ac:dyDescent="0.2">
      <c r="C114" s="9"/>
      <c r="D114" s="9"/>
      <c r="E114" s="44"/>
      <c r="F114" s="44"/>
      <c r="G114" s="9"/>
      <c r="H114" s="9"/>
      <c r="I114" s="9"/>
      <c r="J114" s="9"/>
      <c r="K114" s="9"/>
    </row>
    <row r="115" spans="1:11" x14ac:dyDescent="0.2">
      <c r="C115" s="54"/>
      <c r="D115" s="54"/>
      <c r="E115" s="44"/>
      <c r="F115" s="44"/>
      <c r="G115" s="9"/>
      <c r="H115" s="9"/>
      <c r="I115" s="9"/>
      <c r="J115" s="9"/>
      <c r="K115" s="54"/>
    </row>
    <row r="116" spans="1:11" x14ac:dyDescent="0.2">
      <c r="C116" s="54"/>
      <c r="D116" s="54"/>
      <c r="E116" s="44"/>
      <c r="F116" s="44"/>
      <c r="G116" s="9"/>
      <c r="H116" s="9"/>
      <c r="I116" s="9"/>
      <c r="J116" s="9"/>
      <c r="K116" s="54"/>
    </row>
    <row r="117" spans="1:11" x14ac:dyDescent="0.2">
      <c r="C117" s="54"/>
      <c r="D117" s="54"/>
      <c r="E117" s="44"/>
      <c r="F117" s="44"/>
      <c r="G117" s="9"/>
      <c r="H117" s="9"/>
      <c r="I117" s="9"/>
      <c r="J117" s="9"/>
      <c r="K117" s="54"/>
    </row>
    <row r="118" spans="1:11" x14ac:dyDescent="0.2">
      <c r="C118" s="54"/>
      <c r="D118" s="54"/>
      <c r="E118" s="44"/>
      <c r="F118" s="44"/>
      <c r="G118" s="9"/>
      <c r="H118" s="9"/>
      <c r="I118" s="9"/>
      <c r="J118" s="9"/>
      <c r="K118" s="54"/>
    </row>
    <row r="119" spans="1:11" x14ac:dyDescent="0.2">
      <c r="C119" s="54"/>
      <c r="D119" s="54"/>
      <c r="E119" s="44"/>
      <c r="F119" s="44"/>
      <c r="G119" s="9"/>
      <c r="H119" s="9"/>
      <c r="I119" s="9"/>
      <c r="J119" s="9"/>
      <c r="K119" s="54"/>
    </row>
    <row r="120" spans="1:11" x14ac:dyDescent="0.2">
      <c r="C120" s="54"/>
      <c r="D120" s="54"/>
      <c r="E120" s="44"/>
      <c r="F120" s="44"/>
      <c r="G120" s="9"/>
      <c r="H120" s="9"/>
      <c r="I120" s="9"/>
      <c r="J120" s="9"/>
      <c r="K120" s="54"/>
    </row>
    <row r="121" spans="1:11" x14ac:dyDescent="0.2">
      <c r="C121" s="54"/>
      <c r="D121" s="54"/>
      <c r="E121" s="44"/>
      <c r="F121" s="44"/>
      <c r="G121" s="9"/>
      <c r="H121" s="9"/>
      <c r="I121" s="9"/>
      <c r="J121" s="9"/>
      <c r="K121" s="54"/>
    </row>
    <row r="122" spans="1:11" x14ac:dyDescent="0.2">
      <c r="C122" s="64"/>
      <c r="D122" s="9"/>
      <c r="E122" s="44"/>
      <c r="F122" s="9"/>
      <c r="G122" s="9"/>
      <c r="H122" s="9"/>
      <c r="I122" s="9"/>
      <c r="J122" s="9"/>
      <c r="K122" s="9"/>
    </row>
    <row r="123" spans="1:11" x14ac:dyDescent="0.2">
      <c r="C123" s="65"/>
      <c r="D123" s="9"/>
      <c r="E123" s="44"/>
      <c r="F123" s="9"/>
      <c r="G123" s="9"/>
      <c r="H123" s="9"/>
      <c r="I123" s="9"/>
      <c r="J123" s="9"/>
      <c r="K123" s="9"/>
    </row>
    <row r="124" spans="1:11" x14ac:dyDescent="0.2">
      <c r="C124" s="65"/>
      <c r="D124" s="9"/>
      <c r="E124" s="44"/>
      <c r="F124" s="9"/>
      <c r="G124" s="9"/>
      <c r="H124" s="9"/>
      <c r="I124" s="9"/>
      <c r="J124" s="9"/>
      <c r="K124" s="9"/>
    </row>
    <row r="125" spans="1:11" x14ac:dyDescent="0.2">
      <c r="C125" s="65"/>
      <c r="D125" s="20"/>
      <c r="E125" s="44"/>
      <c r="F125" s="9"/>
      <c r="G125" s="9"/>
      <c r="H125" s="9"/>
      <c r="I125" s="9"/>
      <c r="J125" s="9"/>
      <c r="K125" s="9"/>
    </row>
    <row r="126" spans="1:11" x14ac:dyDescent="0.2">
      <c r="C126" s="20"/>
      <c r="D126" s="9"/>
      <c r="E126" s="44"/>
      <c r="F126" s="9"/>
      <c r="G126" s="9"/>
      <c r="H126" s="9"/>
      <c r="I126" s="9"/>
      <c r="J126" s="9"/>
      <c r="K126" s="9"/>
    </row>
    <row r="127" spans="1:11" x14ac:dyDescent="0.2">
      <c r="C127" s="20"/>
      <c r="D127" s="9"/>
      <c r="E127" s="44"/>
      <c r="F127" s="9"/>
      <c r="G127" s="9"/>
      <c r="H127" s="9"/>
      <c r="I127" s="9"/>
      <c r="J127" s="9"/>
      <c r="K127" s="9"/>
    </row>
    <row r="128" spans="1:11" s="66" customFormat="1" x14ac:dyDescent="0.2">
      <c r="A128" s="33"/>
      <c r="B128" s="33"/>
      <c r="C128" s="9"/>
      <c r="D128" s="9"/>
      <c r="E128" s="44"/>
      <c r="F128" s="9"/>
      <c r="G128" s="9"/>
      <c r="H128" s="9"/>
      <c r="I128" s="9"/>
      <c r="J128" s="9"/>
      <c r="K128" s="9"/>
    </row>
    <row r="129" spans="1:11" s="66" customFormat="1" x14ac:dyDescent="0.2">
      <c r="A129" s="33"/>
      <c r="B129" s="33"/>
      <c r="C129" s="9"/>
      <c r="D129" s="9"/>
      <c r="E129" s="44"/>
      <c r="F129" s="9"/>
      <c r="G129" s="9"/>
      <c r="H129" s="9"/>
      <c r="I129" s="9"/>
      <c r="J129" s="9"/>
      <c r="K129" s="9"/>
    </row>
    <row r="130" spans="1:11" s="66" customFormat="1" x14ac:dyDescent="0.2">
      <c r="A130" s="33"/>
      <c r="B130" s="33"/>
      <c r="C130" s="9"/>
      <c r="D130" s="9"/>
      <c r="E130" s="44"/>
      <c r="F130" s="9"/>
      <c r="G130" s="9"/>
      <c r="H130" s="9"/>
      <c r="I130" s="9"/>
      <c r="J130" s="9"/>
      <c r="K130" s="9"/>
    </row>
    <row r="131" spans="1:11" s="66" customFormat="1" x14ac:dyDescent="0.2">
      <c r="A131" s="33"/>
      <c r="B131" s="33"/>
      <c r="C131" s="9"/>
      <c r="D131" s="9"/>
      <c r="E131" s="44"/>
      <c r="F131" s="9"/>
      <c r="G131" s="9"/>
      <c r="H131" s="9"/>
      <c r="I131" s="9"/>
      <c r="J131" s="9"/>
      <c r="K131" s="9"/>
    </row>
    <row r="132" spans="1:11" s="66" customFormat="1" x14ac:dyDescent="0.2">
      <c r="A132" s="33"/>
      <c r="B132" s="33"/>
      <c r="C132" s="9"/>
      <c r="D132" s="9"/>
      <c r="E132" s="44"/>
      <c r="F132" s="9"/>
      <c r="G132" s="9"/>
      <c r="H132" s="9"/>
      <c r="I132" s="9"/>
      <c r="J132" s="9"/>
      <c r="K132" s="9"/>
    </row>
    <row r="133" spans="1:11" s="66" customFormat="1" x14ac:dyDescent="0.2">
      <c r="A133" s="33"/>
      <c r="B133" s="33"/>
      <c r="C133" s="9"/>
      <c r="D133" s="9"/>
      <c r="E133" s="44"/>
      <c r="F133" s="9"/>
      <c r="G133" s="9"/>
      <c r="H133" s="9"/>
      <c r="I133" s="9"/>
      <c r="J133" s="9"/>
      <c r="K133" s="9"/>
    </row>
    <row r="134" spans="1:11" s="66" customFormat="1" x14ac:dyDescent="0.2">
      <c r="A134" s="33"/>
      <c r="B134" s="33"/>
      <c r="C134" s="9"/>
      <c r="D134" s="9"/>
      <c r="E134" s="44"/>
      <c r="F134" s="9"/>
      <c r="G134" s="9"/>
      <c r="H134" s="9"/>
      <c r="I134" s="9"/>
      <c r="J134" s="9"/>
      <c r="K134" s="9"/>
    </row>
    <row r="135" spans="1:11" s="66" customFormat="1" x14ac:dyDescent="0.2">
      <c r="A135" s="33"/>
      <c r="B135" s="33"/>
      <c r="C135" s="9"/>
      <c r="D135" s="9"/>
      <c r="E135" s="44"/>
      <c r="F135" s="9"/>
      <c r="G135" s="9"/>
      <c r="H135" s="9"/>
      <c r="I135" s="9"/>
      <c r="J135" s="9"/>
      <c r="K135" s="9"/>
    </row>
    <row r="136" spans="1:11" s="66" customFormat="1" x14ac:dyDescent="0.2">
      <c r="A136" s="33"/>
      <c r="B136" s="33"/>
      <c r="C136" s="9"/>
      <c r="D136" s="9"/>
      <c r="E136" s="44"/>
      <c r="F136" s="9"/>
      <c r="G136" s="9"/>
      <c r="H136" s="9"/>
      <c r="I136" s="9"/>
      <c r="J136" s="9"/>
      <c r="K136" s="9"/>
    </row>
    <row r="137" spans="1:11" s="66" customFormat="1" x14ac:dyDescent="0.2">
      <c r="A137" s="33"/>
      <c r="B137" s="33"/>
      <c r="C137" s="9"/>
      <c r="D137" s="9"/>
      <c r="E137" s="44"/>
      <c r="F137" s="9"/>
      <c r="G137" s="9"/>
      <c r="H137" s="9"/>
      <c r="I137" s="9"/>
      <c r="J137" s="9"/>
      <c r="K137" s="9"/>
    </row>
    <row r="138" spans="1:11" s="66" customFormat="1" x14ac:dyDescent="0.2">
      <c r="A138" s="33"/>
      <c r="B138" s="33"/>
      <c r="C138" s="9"/>
      <c r="D138" s="9"/>
      <c r="E138" s="44"/>
      <c r="F138" s="9"/>
      <c r="G138" s="9"/>
      <c r="H138" s="9"/>
      <c r="I138" s="9"/>
      <c r="J138" s="9"/>
      <c r="K138" s="9"/>
    </row>
    <row r="139" spans="1:11" s="66" customFormat="1" x14ac:dyDescent="0.2">
      <c r="A139" s="33"/>
      <c r="B139" s="33"/>
      <c r="C139" s="9"/>
      <c r="D139" s="9"/>
      <c r="E139" s="44"/>
      <c r="F139" s="9"/>
      <c r="G139" s="9"/>
      <c r="H139" s="9"/>
      <c r="I139" s="9"/>
      <c r="J139" s="9"/>
      <c r="K139" s="9"/>
    </row>
    <row r="140" spans="1:11" s="66" customFormat="1" x14ac:dyDescent="0.2">
      <c r="A140" s="33"/>
      <c r="B140" s="33"/>
      <c r="C140" s="9"/>
      <c r="D140" s="9"/>
      <c r="E140" s="44"/>
      <c r="F140" s="9"/>
      <c r="G140" s="9"/>
      <c r="H140" s="9"/>
      <c r="I140" s="9"/>
      <c r="J140" s="9"/>
      <c r="K140" s="9"/>
    </row>
    <row r="141" spans="1:11" s="66" customFormat="1" x14ac:dyDescent="0.2">
      <c r="A141" s="33"/>
      <c r="B141" s="33"/>
      <c r="C141" s="9"/>
      <c r="D141" s="9"/>
      <c r="E141" s="44"/>
      <c r="F141" s="9"/>
      <c r="G141" s="9"/>
      <c r="H141" s="9"/>
      <c r="I141" s="9"/>
      <c r="J141" s="9"/>
      <c r="K141" s="9"/>
    </row>
    <row r="142" spans="1:11" s="66" customFormat="1" x14ac:dyDescent="0.2">
      <c r="A142" s="33"/>
      <c r="B142" s="33"/>
      <c r="C142" s="9"/>
      <c r="D142" s="9"/>
      <c r="E142" s="44"/>
      <c r="F142" s="9"/>
      <c r="G142" s="9"/>
      <c r="H142" s="9"/>
      <c r="I142" s="9"/>
      <c r="J142" s="9"/>
      <c r="K142" s="9"/>
    </row>
    <row r="143" spans="1:11" s="66" customFormat="1" x14ac:dyDescent="0.2">
      <c r="A143" s="33"/>
      <c r="B143" s="33"/>
      <c r="C143" s="9"/>
      <c r="D143" s="9"/>
      <c r="E143" s="44"/>
      <c r="F143" s="9"/>
      <c r="G143" s="9"/>
      <c r="H143" s="9"/>
      <c r="I143" s="9"/>
      <c r="J143" s="9"/>
      <c r="K143" s="9"/>
    </row>
    <row r="144" spans="1:11" s="66" customFormat="1" x14ac:dyDescent="0.2">
      <c r="A144" s="33"/>
      <c r="B144" s="33"/>
      <c r="C144" s="9"/>
      <c r="D144" s="9"/>
      <c r="E144" s="44"/>
      <c r="F144" s="9"/>
      <c r="G144" s="9"/>
      <c r="H144" s="9"/>
      <c r="I144" s="9"/>
      <c r="J144" s="9"/>
      <c r="K144" s="9"/>
    </row>
    <row r="145" spans="1:11" s="66" customFormat="1" x14ac:dyDescent="0.2">
      <c r="A145" s="33"/>
      <c r="B145" s="33"/>
      <c r="C145" s="9"/>
      <c r="D145" s="9"/>
      <c r="E145" s="44"/>
      <c r="F145" s="9"/>
      <c r="G145" s="9"/>
      <c r="H145" s="9"/>
      <c r="I145" s="9"/>
      <c r="J145" s="9"/>
      <c r="K145" s="9"/>
    </row>
    <row r="146" spans="1:11" s="66" customFormat="1" x14ac:dyDescent="0.2">
      <c r="A146" s="33"/>
      <c r="B146" s="33"/>
      <c r="C146" s="9"/>
      <c r="D146" s="9"/>
      <c r="E146" s="44"/>
      <c r="F146" s="9"/>
      <c r="G146" s="9"/>
      <c r="H146" s="9"/>
      <c r="I146" s="9"/>
      <c r="J146" s="9"/>
      <c r="K146" s="9"/>
    </row>
    <row r="147" spans="1:11" s="66" customFormat="1" x14ac:dyDescent="0.2">
      <c r="A147" s="33"/>
      <c r="B147" s="33"/>
      <c r="C147" s="9"/>
      <c r="D147" s="9"/>
      <c r="E147" s="44"/>
      <c r="F147" s="9"/>
      <c r="G147" s="9"/>
      <c r="H147" s="9"/>
      <c r="I147" s="9"/>
      <c r="J147" s="9"/>
      <c r="K147" s="9"/>
    </row>
    <row r="148" spans="1:11" s="66" customFormat="1" x14ac:dyDescent="0.2">
      <c r="A148" s="33"/>
      <c r="B148" s="33"/>
      <c r="C148" s="9"/>
      <c r="D148" s="9"/>
      <c r="E148" s="44"/>
      <c r="F148" s="9"/>
      <c r="G148" s="9"/>
      <c r="H148" s="9"/>
      <c r="I148" s="9"/>
      <c r="J148" s="9"/>
      <c r="K148" s="9"/>
    </row>
    <row r="149" spans="1:11" s="66" customFormat="1" x14ac:dyDescent="0.2">
      <c r="A149" s="33"/>
      <c r="B149" s="33"/>
      <c r="C149" s="9"/>
      <c r="D149" s="9"/>
      <c r="E149" s="44"/>
      <c r="F149" s="9"/>
      <c r="G149" s="9"/>
      <c r="H149" s="9"/>
      <c r="I149" s="9"/>
      <c r="J149" s="9"/>
      <c r="K149" s="9"/>
    </row>
    <row r="150" spans="1:11" s="66" customFormat="1" x14ac:dyDescent="0.2">
      <c r="A150" s="33"/>
      <c r="B150" s="33"/>
      <c r="C150" s="9"/>
      <c r="D150" s="9"/>
      <c r="E150" s="44"/>
      <c r="F150" s="9"/>
      <c r="G150" s="9"/>
      <c r="H150" s="9"/>
      <c r="I150" s="9"/>
      <c r="J150" s="9"/>
      <c r="K150" s="9"/>
    </row>
    <row r="151" spans="1:11" s="66" customFormat="1" x14ac:dyDescent="0.2">
      <c r="A151" s="33"/>
      <c r="B151" s="33"/>
      <c r="C151" s="9"/>
      <c r="D151" s="9"/>
      <c r="E151" s="44"/>
      <c r="F151" s="9"/>
      <c r="G151" s="9"/>
      <c r="H151" s="9"/>
      <c r="I151" s="9"/>
      <c r="J151" s="9"/>
      <c r="K151" s="9"/>
    </row>
    <row r="152" spans="1:11" s="66" customFormat="1" x14ac:dyDescent="0.2">
      <c r="A152" s="33"/>
      <c r="B152" s="33"/>
      <c r="C152" s="9"/>
      <c r="D152" s="9"/>
      <c r="E152" s="44"/>
      <c r="F152" s="9"/>
      <c r="G152" s="9"/>
      <c r="H152" s="9"/>
      <c r="I152" s="9"/>
      <c r="J152" s="9"/>
      <c r="K152" s="9"/>
    </row>
    <row r="153" spans="1:11" s="66" customFormat="1" x14ac:dyDescent="0.2">
      <c r="A153" s="33"/>
      <c r="B153" s="33"/>
      <c r="C153" s="9"/>
      <c r="D153" s="9"/>
      <c r="E153" s="44"/>
      <c r="F153" s="9"/>
      <c r="G153" s="9"/>
      <c r="H153" s="9"/>
      <c r="I153" s="9"/>
      <c r="J153" s="9"/>
      <c r="K153" s="9"/>
    </row>
    <row r="154" spans="1:11" s="66" customFormat="1" x14ac:dyDescent="0.2">
      <c r="A154" s="33"/>
      <c r="B154" s="33"/>
      <c r="C154" s="9"/>
      <c r="D154" s="9"/>
      <c r="E154" s="44"/>
      <c r="F154" s="9"/>
      <c r="G154" s="9"/>
      <c r="H154" s="9"/>
      <c r="I154" s="9"/>
      <c r="J154" s="9"/>
      <c r="K154" s="9"/>
    </row>
    <row r="155" spans="1:11" s="66" customFormat="1" x14ac:dyDescent="0.2">
      <c r="A155" s="33"/>
      <c r="B155" s="33"/>
      <c r="C155" s="9"/>
      <c r="D155" s="9"/>
      <c r="E155" s="44"/>
      <c r="F155" s="9"/>
      <c r="G155" s="9"/>
      <c r="H155" s="9"/>
      <c r="I155" s="9"/>
      <c r="J155" s="9"/>
      <c r="K155" s="9"/>
    </row>
    <row r="156" spans="1:11" s="66" customFormat="1" x14ac:dyDescent="0.2">
      <c r="A156" s="33"/>
      <c r="B156" s="33"/>
      <c r="C156" s="20"/>
      <c r="D156" s="20"/>
      <c r="E156" s="44"/>
      <c r="F156" s="9"/>
      <c r="G156" s="9"/>
      <c r="H156" s="9"/>
      <c r="I156" s="9"/>
      <c r="J156" s="9"/>
      <c r="K156" s="9"/>
    </row>
    <row r="157" spans="1:11" s="66" customFormat="1" x14ac:dyDescent="0.2">
      <c r="A157" s="33"/>
      <c r="B157" s="33"/>
      <c r="C157" s="20"/>
      <c r="D157" s="20"/>
      <c r="E157" s="44"/>
      <c r="F157" s="9"/>
      <c r="G157" s="9"/>
      <c r="H157" s="9"/>
      <c r="I157" s="9"/>
      <c r="J157" s="9"/>
      <c r="K157" s="9"/>
    </row>
    <row r="158" spans="1:11" s="66" customFormat="1" x14ac:dyDescent="0.2">
      <c r="A158" s="33"/>
      <c r="B158" s="33"/>
      <c r="C158" s="20"/>
      <c r="D158" s="20"/>
      <c r="E158" s="44"/>
      <c r="F158" s="9"/>
      <c r="G158" s="9"/>
      <c r="H158" s="9"/>
      <c r="I158" s="9"/>
      <c r="J158" s="9"/>
      <c r="K158" s="9"/>
    </row>
    <row r="159" spans="1:11" s="66" customFormat="1" x14ac:dyDescent="0.2">
      <c r="A159" s="33"/>
      <c r="B159" s="33"/>
      <c r="C159" s="20"/>
      <c r="D159" s="20"/>
      <c r="E159" s="44"/>
      <c r="F159" s="9"/>
      <c r="G159" s="9"/>
      <c r="H159" s="9"/>
      <c r="I159" s="9"/>
      <c r="J159" s="9"/>
      <c r="K159" s="9"/>
    </row>
    <row r="160" spans="1:11" x14ac:dyDescent="0.2">
      <c r="C160" s="20"/>
      <c r="D160" s="20"/>
      <c r="E160" s="44"/>
      <c r="F160" s="9"/>
      <c r="G160" s="9"/>
      <c r="H160" s="9"/>
      <c r="I160" s="9"/>
      <c r="J160" s="9"/>
      <c r="K160" s="9"/>
    </row>
    <row r="161" spans="3:11" x14ac:dyDescent="0.2">
      <c r="C161" s="9"/>
      <c r="D161" s="9"/>
      <c r="E161" s="44"/>
      <c r="F161" s="9"/>
      <c r="G161" s="9"/>
      <c r="H161" s="9"/>
      <c r="I161" s="9"/>
      <c r="J161" s="9"/>
      <c r="K161" s="9"/>
    </row>
    <row r="162" spans="3:11" x14ac:dyDescent="0.2">
      <c r="C162" s="9"/>
      <c r="D162" s="9"/>
      <c r="E162" s="44"/>
      <c r="F162" s="9"/>
      <c r="G162" s="9"/>
      <c r="H162" s="9"/>
      <c r="I162" s="9"/>
      <c r="J162" s="9"/>
      <c r="K162" s="9"/>
    </row>
    <row r="163" spans="3:11" x14ac:dyDescent="0.2">
      <c r="C163" s="20"/>
      <c r="D163" s="20"/>
      <c r="E163" s="44"/>
      <c r="F163" s="9"/>
      <c r="G163" s="9"/>
      <c r="H163" s="9"/>
      <c r="I163" s="9"/>
      <c r="J163" s="9"/>
      <c r="K163" s="9"/>
    </row>
    <row r="164" spans="3:11" x14ac:dyDescent="0.2">
      <c r="C164" s="20"/>
      <c r="D164" s="20"/>
      <c r="E164" s="44"/>
      <c r="F164" s="9"/>
      <c r="G164" s="9"/>
      <c r="H164" s="9"/>
      <c r="I164" s="9"/>
      <c r="J164" s="9"/>
      <c r="K164" s="9"/>
    </row>
    <row r="165" spans="3:11" x14ac:dyDescent="0.2">
      <c r="C165" s="20"/>
      <c r="D165" s="20"/>
      <c r="E165" s="44"/>
      <c r="F165" s="9"/>
      <c r="G165" s="9"/>
      <c r="H165" s="9"/>
      <c r="I165" s="9"/>
      <c r="J165" s="9"/>
      <c r="K165" s="9"/>
    </row>
    <row r="166" spans="3:11" x14ac:dyDescent="0.2">
      <c r="C166" s="20"/>
      <c r="D166" s="20"/>
      <c r="E166" s="44"/>
      <c r="F166" s="9"/>
      <c r="G166" s="9"/>
      <c r="H166" s="9"/>
      <c r="I166" s="9"/>
      <c r="J166" s="9"/>
      <c r="K166" s="9"/>
    </row>
    <row r="167" spans="3:11" x14ac:dyDescent="0.2">
      <c r="C167" s="9"/>
      <c r="D167" s="9"/>
      <c r="E167" s="44"/>
      <c r="F167" s="9"/>
      <c r="G167" s="9"/>
      <c r="H167" s="9"/>
      <c r="I167" s="9"/>
      <c r="J167" s="9"/>
      <c r="K167" s="9"/>
    </row>
    <row r="168" spans="3:11" x14ac:dyDescent="0.2">
      <c r="C168" s="9"/>
      <c r="D168" s="9"/>
      <c r="E168" s="44"/>
      <c r="F168" s="9"/>
      <c r="G168" s="9"/>
      <c r="H168" s="9"/>
      <c r="I168" s="9"/>
      <c r="J168" s="9"/>
      <c r="K168" s="9"/>
    </row>
    <row r="169" spans="3:11" x14ac:dyDescent="0.2">
      <c r="C169" s="9"/>
      <c r="D169" s="9"/>
      <c r="E169" s="44"/>
      <c r="F169" s="9"/>
      <c r="G169" s="9"/>
      <c r="H169" s="9"/>
      <c r="I169" s="9"/>
      <c r="J169" s="9"/>
      <c r="K169" s="9"/>
    </row>
    <row r="170" spans="3:11" ht="15" x14ac:dyDescent="0.25">
      <c r="C170" s="67"/>
      <c r="D170" s="9"/>
      <c r="E170" s="9"/>
      <c r="F170" s="9"/>
      <c r="G170" s="9"/>
      <c r="H170" s="9"/>
      <c r="I170" s="9"/>
      <c r="J170" s="9"/>
      <c r="K170" s="9"/>
    </row>
    <row r="171" spans="3:11" x14ac:dyDescent="0.2">
      <c r="C171" s="9"/>
      <c r="D171" s="9"/>
      <c r="E171" s="59"/>
      <c r="F171" s="10"/>
      <c r="G171" s="9"/>
      <c r="H171" s="9"/>
      <c r="I171" s="9"/>
      <c r="J171" s="44"/>
      <c r="K171" s="9"/>
    </row>
    <row r="172" spans="3:11" x14ac:dyDescent="0.2">
      <c r="C172" s="9"/>
      <c r="D172" s="9"/>
      <c r="E172" s="9"/>
      <c r="F172" s="9"/>
      <c r="G172" s="10"/>
      <c r="H172" s="9"/>
      <c r="I172" s="9"/>
      <c r="J172" s="44"/>
      <c r="K172" s="9"/>
    </row>
    <row r="173" spans="3:11" x14ac:dyDescent="0.2">
      <c r="C173" s="68"/>
      <c r="D173" s="68"/>
      <c r="E173" s="68"/>
      <c r="F173" s="68"/>
      <c r="G173" s="68"/>
      <c r="H173" s="68"/>
      <c r="I173" s="68"/>
      <c r="J173" s="68"/>
      <c r="K173" s="9"/>
    </row>
    <row r="174" spans="3:11" x14ac:dyDescent="0.2">
      <c r="C174" s="9"/>
      <c r="D174" s="9"/>
      <c r="E174" s="9"/>
      <c r="F174" s="9"/>
      <c r="G174" s="9"/>
      <c r="H174" s="9"/>
      <c r="I174" s="9"/>
      <c r="J174" s="9"/>
      <c r="K174" s="9"/>
    </row>
    <row r="175" spans="3:11" x14ac:dyDescent="0.2">
      <c r="C175" s="9"/>
      <c r="D175" s="9"/>
      <c r="E175" s="9"/>
      <c r="F175" s="9"/>
      <c r="G175" s="9"/>
      <c r="H175" s="9"/>
      <c r="I175" s="20"/>
      <c r="J175" s="9"/>
      <c r="K175" s="9"/>
    </row>
    <row r="176" spans="3:11" x14ac:dyDescent="0.2">
      <c r="C176" s="69"/>
      <c r="D176" s="9"/>
      <c r="E176" s="9"/>
      <c r="F176" s="9"/>
      <c r="G176" s="9"/>
      <c r="H176" s="9"/>
      <c r="I176" s="9"/>
      <c r="J176" s="9"/>
      <c r="K176" s="9"/>
    </row>
    <row r="177" spans="3:11" x14ac:dyDescent="0.2">
      <c r="C177" s="69"/>
      <c r="D177" s="9"/>
      <c r="E177" s="9"/>
      <c r="F177" s="9"/>
      <c r="G177" s="9"/>
      <c r="H177" s="9"/>
      <c r="I177" s="9"/>
      <c r="J177" s="9"/>
      <c r="K177" s="9"/>
    </row>
    <row r="178" spans="3:11" x14ac:dyDescent="0.2">
      <c r="C178" s="9"/>
      <c r="D178" s="9"/>
      <c r="E178" s="9"/>
      <c r="F178" s="9"/>
      <c r="G178" s="9"/>
      <c r="H178" s="9"/>
      <c r="I178" s="9"/>
      <c r="J178" s="9"/>
      <c r="K178" s="9"/>
    </row>
    <row r="179" spans="3:11" x14ac:dyDescent="0.2">
      <c r="C179" s="20"/>
      <c r="D179" s="9"/>
      <c r="E179" s="9"/>
      <c r="F179" s="9"/>
      <c r="G179" s="20"/>
      <c r="H179" s="9"/>
      <c r="I179" s="9"/>
      <c r="J179" s="9"/>
      <c r="K179" s="9"/>
    </row>
    <row r="180" spans="3:11" x14ac:dyDescent="0.2">
      <c r="C180" s="9"/>
      <c r="D180" s="9"/>
      <c r="E180" s="9"/>
      <c r="F180" s="9"/>
      <c r="G180" s="9"/>
      <c r="H180" s="9"/>
      <c r="I180" s="9"/>
      <c r="J180" s="9"/>
      <c r="K180" s="9"/>
    </row>
    <row r="181" spans="3:11" x14ac:dyDescent="0.2">
      <c r="C181" s="54"/>
      <c r="D181" s="54"/>
      <c r="E181" s="54"/>
      <c r="F181" s="54"/>
      <c r="G181" s="54"/>
      <c r="H181" s="54"/>
      <c r="I181" s="54"/>
      <c r="J181" s="54"/>
      <c r="K181" s="9"/>
    </row>
    <row r="182" spans="3:11" x14ac:dyDescent="0.2">
      <c r="C182" s="9"/>
      <c r="D182" s="9"/>
      <c r="E182" s="9"/>
      <c r="F182" s="9"/>
      <c r="G182" s="9"/>
      <c r="H182" s="9"/>
      <c r="I182" s="9"/>
      <c r="J182" s="9"/>
      <c r="K182" s="9"/>
    </row>
    <row r="183" spans="3:11" x14ac:dyDescent="0.2">
      <c r="C183" s="9"/>
      <c r="D183" s="9"/>
      <c r="E183" s="9"/>
      <c r="F183" s="9"/>
      <c r="G183" s="9"/>
      <c r="H183" s="9"/>
      <c r="I183" s="9"/>
      <c r="J183" s="9"/>
      <c r="K183" s="9"/>
    </row>
    <row r="184" spans="3:11" x14ac:dyDescent="0.2">
      <c r="C184" s="20"/>
      <c r="D184" s="9"/>
      <c r="E184" s="9"/>
      <c r="F184" s="9"/>
      <c r="G184" s="9"/>
      <c r="H184" s="9"/>
      <c r="I184" s="9"/>
      <c r="J184" s="9"/>
      <c r="K184" s="9"/>
    </row>
    <row r="185" spans="3:11" x14ac:dyDescent="0.2">
      <c r="C185" s="54"/>
      <c r="D185" s="54"/>
      <c r="E185" s="54"/>
      <c r="F185" s="54"/>
      <c r="G185" s="54"/>
      <c r="H185" s="54"/>
      <c r="I185" s="54"/>
      <c r="J185" s="54"/>
      <c r="K185" s="9"/>
    </row>
    <row r="186" spans="3:11" x14ac:dyDescent="0.2">
      <c r="C186" s="54"/>
      <c r="D186" s="54"/>
      <c r="E186" s="54"/>
      <c r="F186" s="54"/>
      <c r="G186" s="54"/>
      <c r="H186" s="54"/>
      <c r="I186" s="54"/>
      <c r="J186" s="54"/>
      <c r="K186" s="9"/>
    </row>
    <row r="187" spans="3:11" x14ac:dyDescent="0.2">
      <c r="C187" s="54"/>
      <c r="D187" s="54"/>
      <c r="E187" s="54"/>
      <c r="F187" s="54"/>
      <c r="G187" s="54"/>
      <c r="H187" s="54"/>
      <c r="I187" s="54"/>
      <c r="J187" s="54"/>
      <c r="K187" s="9"/>
    </row>
    <row r="188" spans="3:11" x14ac:dyDescent="0.2">
      <c r="C188" s="20"/>
      <c r="D188" s="9"/>
      <c r="E188" s="9"/>
      <c r="F188" s="9"/>
      <c r="G188" s="9"/>
      <c r="H188" s="9"/>
      <c r="I188" s="9"/>
      <c r="J188" s="9"/>
      <c r="K188" s="9"/>
    </row>
    <row r="189" spans="3:11" x14ac:dyDescent="0.2">
      <c r="C189" s="68"/>
      <c r="D189" s="68"/>
      <c r="E189" s="68"/>
      <c r="F189" s="68"/>
      <c r="G189" s="68"/>
      <c r="H189" s="68"/>
      <c r="I189" s="68"/>
      <c r="J189" s="68"/>
      <c r="K189" s="9"/>
    </row>
    <row r="190" spans="3:11" x14ac:dyDescent="0.2">
      <c r="C190" s="20"/>
      <c r="D190" s="9"/>
      <c r="E190" s="9"/>
      <c r="F190" s="9"/>
      <c r="G190" s="9"/>
      <c r="H190" s="9"/>
      <c r="I190" s="9"/>
      <c r="J190" s="9"/>
      <c r="K190" s="9"/>
    </row>
    <row r="191" spans="3:11" x14ac:dyDescent="0.2">
      <c r="C191" s="9"/>
      <c r="D191" s="9"/>
      <c r="E191" s="9"/>
      <c r="F191" s="9"/>
      <c r="G191" s="9"/>
      <c r="H191" s="9"/>
      <c r="I191" s="9"/>
      <c r="J191" s="9"/>
      <c r="K191" s="9"/>
    </row>
    <row r="192" spans="3:11" x14ac:dyDescent="0.2">
      <c r="C192" s="9"/>
      <c r="D192" s="9"/>
      <c r="E192" s="9"/>
      <c r="F192" s="9"/>
      <c r="G192" s="9"/>
      <c r="H192" s="9"/>
      <c r="I192" s="9"/>
      <c r="J192" s="9"/>
      <c r="K192" s="9"/>
    </row>
    <row r="193" spans="3:11" x14ac:dyDescent="0.2">
      <c r="C193" s="9"/>
      <c r="D193" s="9"/>
      <c r="E193" s="9"/>
      <c r="F193" s="9"/>
      <c r="G193" s="9"/>
      <c r="H193" s="9"/>
      <c r="I193" s="9"/>
      <c r="J193" s="9"/>
      <c r="K193" s="9"/>
    </row>
    <row r="194" spans="3:11" x14ac:dyDescent="0.2">
      <c r="C194" s="9"/>
      <c r="D194" s="9"/>
      <c r="E194" s="44"/>
      <c r="F194" s="9"/>
      <c r="G194" s="9"/>
      <c r="H194" s="9"/>
      <c r="I194" s="9"/>
      <c r="J194" s="9"/>
      <c r="K194" s="9"/>
    </row>
    <row r="195" spans="3:11" ht="15" x14ac:dyDescent="0.25">
      <c r="C195" s="67"/>
      <c r="D195" s="9"/>
      <c r="E195" s="9"/>
      <c r="F195" s="9"/>
      <c r="G195" s="9"/>
      <c r="H195" s="9"/>
      <c r="I195" s="9"/>
      <c r="J195" s="9"/>
      <c r="K195" s="9"/>
    </row>
    <row r="196" spans="3:11" x14ac:dyDescent="0.2">
      <c r="C196" s="9"/>
      <c r="D196" s="9"/>
      <c r="E196" s="10"/>
      <c r="F196" s="20"/>
      <c r="G196" s="9"/>
      <c r="H196" s="9"/>
      <c r="I196" s="9"/>
      <c r="J196" s="44"/>
      <c r="K196" s="9"/>
    </row>
    <row r="197" spans="3:11" x14ac:dyDescent="0.2">
      <c r="C197" s="9"/>
      <c r="D197" s="9"/>
      <c r="E197" s="9"/>
      <c r="F197" s="9"/>
      <c r="G197" s="10"/>
      <c r="H197" s="9"/>
      <c r="I197" s="9"/>
      <c r="J197" s="44"/>
      <c r="K197" s="9"/>
    </row>
    <row r="198" spans="3:11" x14ac:dyDescent="0.2">
      <c r="C198" s="68"/>
      <c r="D198" s="68"/>
      <c r="E198" s="68"/>
      <c r="F198" s="68"/>
      <c r="G198" s="68"/>
      <c r="H198" s="68"/>
      <c r="I198" s="68"/>
      <c r="J198" s="68"/>
      <c r="K198" s="9"/>
    </row>
    <row r="199" spans="3:11" x14ac:dyDescent="0.2">
      <c r="C199" s="9"/>
      <c r="D199" s="9"/>
      <c r="E199" s="9"/>
      <c r="F199" s="9"/>
      <c r="G199" s="9"/>
      <c r="H199" s="9"/>
      <c r="I199" s="9"/>
      <c r="J199" s="9"/>
      <c r="K199" s="9"/>
    </row>
    <row r="200" spans="3:11" x14ac:dyDescent="0.2">
      <c r="C200" s="9"/>
      <c r="D200" s="9"/>
      <c r="E200" s="9"/>
      <c r="F200" s="9"/>
      <c r="G200" s="9"/>
      <c r="H200" s="9"/>
      <c r="I200" s="20"/>
      <c r="J200" s="9"/>
      <c r="K200" s="9"/>
    </row>
    <row r="201" spans="3:11" x14ac:dyDescent="0.2">
      <c r="C201" s="69"/>
      <c r="D201" s="9"/>
      <c r="E201" s="9"/>
      <c r="F201" s="9"/>
      <c r="G201" s="9"/>
      <c r="H201" s="9"/>
      <c r="I201" s="9"/>
      <c r="J201" s="9"/>
      <c r="K201" s="9"/>
    </row>
    <row r="202" spans="3:11" x14ac:dyDescent="0.2">
      <c r="C202" s="69"/>
      <c r="D202" s="9"/>
      <c r="E202" s="9"/>
      <c r="F202" s="9"/>
      <c r="G202" s="9"/>
      <c r="H202" s="9"/>
      <c r="I202" s="9"/>
      <c r="J202" s="9"/>
      <c r="K202" s="9"/>
    </row>
    <row r="203" spans="3:11" x14ac:dyDescent="0.2">
      <c r="C203" s="9"/>
      <c r="D203" s="9"/>
      <c r="E203" s="9"/>
      <c r="F203" s="9"/>
      <c r="G203" s="9"/>
      <c r="H203" s="9"/>
      <c r="I203" s="9"/>
      <c r="J203" s="9"/>
      <c r="K203" s="9"/>
    </row>
    <row r="204" spans="3:11" x14ac:dyDescent="0.2">
      <c r="C204" s="20"/>
      <c r="D204" s="9"/>
      <c r="E204" s="9"/>
      <c r="F204" s="9"/>
      <c r="G204" s="20"/>
      <c r="H204" s="9"/>
      <c r="I204" s="9"/>
      <c r="J204" s="9"/>
      <c r="K204" s="9"/>
    </row>
    <row r="205" spans="3:11" x14ac:dyDescent="0.2">
      <c r="C205" s="9"/>
      <c r="D205" s="9"/>
      <c r="E205" s="9"/>
      <c r="F205" s="9"/>
      <c r="G205" s="9"/>
      <c r="H205" s="9"/>
      <c r="I205" s="9"/>
      <c r="J205" s="9"/>
      <c r="K205" s="9"/>
    </row>
    <row r="206" spans="3:11" x14ac:dyDescent="0.2">
      <c r="C206" s="54"/>
      <c r="D206" s="54"/>
      <c r="E206" s="54"/>
      <c r="F206" s="54"/>
      <c r="G206" s="54"/>
      <c r="H206" s="54"/>
      <c r="I206" s="54"/>
      <c r="J206" s="54"/>
      <c r="K206" s="9"/>
    </row>
    <row r="207" spans="3:11" x14ac:dyDescent="0.2">
      <c r="C207" s="9"/>
      <c r="D207" s="9"/>
      <c r="E207" s="9"/>
      <c r="F207" s="9"/>
      <c r="G207" s="9"/>
      <c r="H207" s="9"/>
      <c r="I207" s="9"/>
      <c r="J207" s="9"/>
      <c r="K207" s="9"/>
    </row>
    <row r="208" spans="3:11" x14ac:dyDescent="0.2">
      <c r="C208" s="9"/>
      <c r="D208" s="9"/>
      <c r="E208" s="9"/>
      <c r="F208" s="9"/>
      <c r="G208" s="9"/>
      <c r="H208" s="9"/>
      <c r="I208" s="9"/>
      <c r="J208" s="9"/>
      <c r="K208" s="9"/>
    </row>
    <row r="209" spans="3:11" x14ac:dyDescent="0.2">
      <c r="C209" s="20"/>
      <c r="D209" s="9"/>
      <c r="E209" s="9"/>
      <c r="F209" s="9"/>
      <c r="G209" s="9"/>
      <c r="H209" s="9"/>
      <c r="I209" s="9"/>
      <c r="J209" s="9"/>
      <c r="K209" s="9"/>
    </row>
    <row r="210" spans="3:11" x14ac:dyDescent="0.2">
      <c r="C210" s="54"/>
      <c r="D210" s="54"/>
      <c r="E210" s="54"/>
      <c r="F210" s="54"/>
      <c r="G210" s="54"/>
      <c r="H210" s="54"/>
      <c r="I210" s="54"/>
      <c r="J210" s="54"/>
      <c r="K210" s="9"/>
    </row>
    <row r="211" spans="3:11" x14ac:dyDescent="0.2">
      <c r="C211" s="54"/>
      <c r="D211" s="54"/>
      <c r="E211" s="54"/>
      <c r="F211" s="54"/>
      <c r="G211" s="54"/>
      <c r="H211" s="54"/>
      <c r="I211" s="54"/>
      <c r="J211" s="54"/>
      <c r="K211" s="9"/>
    </row>
    <row r="212" spans="3:11" ht="15" x14ac:dyDescent="0.25">
      <c r="C212" s="70"/>
      <c r="D212" s="70"/>
      <c r="E212" s="70"/>
      <c r="F212" s="70"/>
      <c r="G212" s="70"/>
      <c r="H212" s="70"/>
      <c r="I212" s="70"/>
      <c r="J212" s="70"/>
      <c r="K212" s="9"/>
    </row>
    <row r="213" spans="3:11" x14ac:dyDescent="0.2">
      <c r="C213" s="20"/>
      <c r="D213" s="9"/>
      <c r="E213" s="9"/>
      <c r="F213" s="9"/>
      <c r="G213" s="9"/>
      <c r="H213" s="9"/>
      <c r="I213" s="9"/>
      <c r="J213" s="9"/>
      <c r="K213" s="9"/>
    </row>
    <row r="214" spans="3:11" x14ac:dyDescent="0.2">
      <c r="C214" s="68"/>
      <c r="D214" s="68"/>
      <c r="E214" s="68"/>
      <c r="F214" s="68"/>
      <c r="G214" s="68"/>
      <c r="H214" s="68"/>
      <c r="I214" s="68"/>
      <c r="J214" s="68"/>
      <c r="K214" s="9"/>
    </row>
    <row r="215" spans="3:11" x14ac:dyDescent="0.2">
      <c r="C215" s="20"/>
      <c r="D215" s="9"/>
      <c r="E215" s="9"/>
      <c r="F215" s="9"/>
      <c r="G215" s="9"/>
      <c r="H215" s="9"/>
      <c r="I215" s="9"/>
      <c r="J215" s="9"/>
      <c r="K215" s="9"/>
    </row>
    <row r="216" spans="3:11" x14ac:dyDescent="0.2">
      <c r="C216" s="9"/>
      <c r="D216" s="9"/>
      <c r="E216" s="9"/>
      <c r="F216" s="9"/>
      <c r="G216" s="9"/>
      <c r="H216" s="9"/>
      <c r="I216" s="9"/>
      <c r="J216" s="9"/>
      <c r="K216" s="9"/>
    </row>
    <row r="217" spans="3:11" x14ac:dyDescent="0.2">
      <c r="C217" s="9"/>
      <c r="D217" s="9"/>
      <c r="E217" s="9"/>
      <c r="F217" s="9"/>
      <c r="G217" s="9"/>
      <c r="H217" s="9"/>
      <c r="I217" s="9"/>
      <c r="J217" s="9"/>
      <c r="K217" s="9"/>
    </row>
    <row r="218" spans="3:11" x14ac:dyDescent="0.2">
      <c r="C218" s="9"/>
      <c r="D218" s="9"/>
      <c r="E218" s="9"/>
      <c r="F218" s="9"/>
      <c r="G218" s="9"/>
      <c r="H218" s="9"/>
      <c r="I218" s="9"/>
      <c r="J218" s="9"/>
      <c r="K218" s="9"/>
    </row>
    <row r="219" spans="3:11" x14ac:dyDescent="0.2">
      <c r="C219" s="9"/>
      <c r="D219" s="9"/>
      <c r="E219" s="44"/>
      <c r="F219" s="9"/>
      <c r="G219" s="9"/>
      <c r="H219" s="9"/>
      <c r="I219" s="9"/>
      <c r="J219" s="9"/>
      <c r="K219" s="9"/>
    </row>
  </sheetData>
  <pageMargins left="0.70866141732283472" right="0.70866141732283472" top="0.39370078740157483" bottom="0.59055118110236227"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5:N78"/>
  <sheetViews>
    <sheetView workbookViewId="0">
      <selection activeCell="M29" sqref="M29"/>
    </sheetView>
  </sheetViews>
  <sheetFormatPr baseColWidth="10" defaultRowHeight="15" x14ac:dyDescent="0.25"/>
  <cols>
    <col min="2" max="2" width="28.7109375" customWidth="1"/>
  </cols>
  <sheetData>
    <row r="5" spans="1:7" x14ac:dyDescent="0.25">
      <c r="C5" s="72" t="s">
        <v>146</v>
      </c>
      <c r="D5" s="72" t="s">
        <v>147</v>
      </c>
      <c r="E5" s="72" t="s">
        <v>148</v>
      </c>
      <c r="F5" s="72" t="s">
        <v>149</v>
      </c>
      <c r="G5" s="72" t="s">
        <v>150</v>
      </c>
    </row>
    <row r="6" spans="1:7" x14ac:dyDescent="0.25">
      <c r="A6">
        <v>1</v>
      </c>
      <c r="C6">
        <v>1</v>
      </c>
      <c r="D6">
        <v>2</v>
      </c>
      <c r="E6">
        <v>3</v>
      </c>
      <c r="F6">
        <v>4</v>
      </c>
      <c r="G6">
        <v>5</v>
      </c>
    </row>
    <row r="7" spans="1:7" x14ac:dyDescent="0.25">
      <c r="A7">
        <v>2</v>
      </c>
      <c r="B7" s="7" t="s">
        <v>18</v>
      </c>
      <c r="C7">
        <v>135</v>
      </c>
      <c r="D7">
        <v>110</v>
      </c>
      <c r="E7">
        <v>100</v>
      </c>
      <c r="F7">
        <v>80</v>
      </c>
      <c r="G7">
        <v>55</v>
      </c>
    </row>
    <row r="8" spans="1:7" x14ac:dyDescent="0.25">
      <c r="A8">
        <v>3</v>
      </c>
      <c r="B8" s="208" t="s">
        <v>329</v>
      </c>
      <c r="C8" s="88">
        <f>C7</f>
        <v>135</v>
      </c>
      <c r="D8" s="88">
        <f>D7</f>
        <v>110</v>
      </c>
      <c r="E8" s="88">
        <f>E7</f>
        <v>100</v>
      </c>
      <c r="F8" s="88">
        <f>F7</f>
        <v>80</v>
      </c>
      <c r="G8" s="88">
        <f>G7</f>
        <v>55</v>
      </c>
    </row>
    <row r="9" spans="1:7" x14ac:dyDescent="0.25">
      <c r="A9">
        <v>4</v>
      </c>
      <c r="B9" s="209" t="s">
        <v>19</v>
      </c>
      <c r="C9">
        <v>65</v>
      </c>
      <c r="D9">
        <v>65</v>
      </c>
      <c r="E9">
        <v>50</v>
      </c>
      <c r="F9">
        <v>35</v>
      </c>
      <c r="G9">
        <v>35</v>
      </c>
    </row>
    <row r="10" spans="1:7" x14ac:dyDescent="0.25">
      <c r="A10">
        <v>5</v>
      </c>
      <c r="B10" s="208" t="s">
        <v>329</v>
      </c>
      <c r="C10" s="88">
        <f>C9</f>
        <v>65</v>
      </c>
      <c r="D10" s="88">
        <f>D9</f>
        <v>65</v>
      </c>
      <c r="E10" s="88">
        <f>E9</f>
        <v>50</v>
      </c>
      <c r="F10" s="88">
        <f>F9</f>
        <v>35</v>
      </c>
      <c r="G10" s="88">
        <f>G9</f>
        <v>35</v>
      </c>
    </row>
    <row r="11" spans="1:7" x14ac:dyDescent="0.25">
      <c r="A11">
        <v>6</v>
      </c>
      <c r="B11" s="209" t="s">
        <v>20</v>
      </c>
      <c r="C11">
        <v>30</v>
      </c>
      <c r="D11">
        <v>30</v>
      </c>
      <c r="E11">
        <v>25</v>
      </c>
      <c r="F11">
        <v>20</v>
      </c>
      <c r="G11">
        <v>20</v>
      </c>
    </row>
    <row r="12" spans="1:7" x14ac:dyDescent="0.25">
      <c r="A12">
        <v>7</v>
      </c>
      <c r="B12" s="208" t="s">
        <v>329</v>
      </c>
      <c r="C12" s="88">
        <f>C11</f>
        <v>30</v>
      </c>
      <c r="D12" s="88">
        <f>D11</f>
        <v>30</v>
      </c>
      <c r="E12" s="88">
        <f>E11</f>
        <v>25</v>
      </c>
      <c r="F12" s="88">
        <f>F11</f>
        <v>20</v>
      </c>
      <c r="G12" s="88">
        <f>G11</f>
        <v>20</v>
      </c>
    </row>
    <row r="13" spans="1:7" x14ac:dyDescent="0.25">
      <c r="A13">
        <v>8</v>
      </c>
      <c r="B13" s="22" t="s">
        <v>30</v>
      </c>
      <c r="C13" s="285">
        <v>110</v>
      </c>
      <c r="D13" s="88">
        <f>C13</f>
        <v>110</v>
      </c>
      <c r="E13" s="88">
        <f>D13</f>
        <v>110</v>
      </c>
      <c r="F13" s="88">
        <f>E13</f>
        <v>110</v>
      </c>
      <c r="G13" s="88">
        <f>F13</f>
        <v>110</v>
      </c>
    </row>
    <row r="14" spans="1:7" x14ac:dyDescent="0.25">
      <c r="A14">
        <v>9</v>
      </c>
      <c r="B14" s="7" t="s">
        <v>313</v>
      </c>
      <c r="C14">
        <v>160</v>
      </c>
      <c r="D14" s="88">
        <f t="shared" ref="D14:G15" si="0">C14</f>
        <v>160</v>
      </c>
      <c r="E14" s="88">
        <f t="shared" si="0"/>
        <v>160</v>
      </c>
      <c r="F14" s="88">
        <f t="shared" si="0"/>
        <v>160</v>
      </c>
      <c r="G14" s="88">
        <f t="shared" si="0"/>
        <v>160</v>
      </c>
    </row>
    <row r="15" spans="1:7" x14ac:dyDescent="0.25">
      <c r="A15">
        <v>10</v>
      </c>
      <c r="B15" s="7" t="s">
        <v>313</v>
      </c>
      <c r="C15">
        <v>160</v>
      </c>
      <c r="D15" s="88">
        <f t="shared" si="0"/>
        <v>160</v>
      </c>
      <c r="E15" s="88">
        <f t="shared" si="0"/>
        <v>160</v>
      </c>
      <c r="F15" s="88">
        <f t="shared" si="0"/>
        <v>160</v>
      </c>
      <c r="G15" s="88">
        <f t="shared" si="0"/>
        <v>160</v>
      </c>
    </row>
    <row r="16" spans="1:7" x14ac:dyDescent="0.25">
      <c r="A16">
        <v>11</v>
      </c>
      <c r="B16" s="7" t="s">
        <v>314</v>
      </c>
      <c r="C16" s="286">
        <v>150</v>
      </c>
      <c r="D16" s="88">
        <f t="shared" ref="D16:G17" si="1">C16</f>
        <v>150</v>
      </c>
      <c r="E16" s="88">
        <f t="shared" si="1"/>
        <v>150</v>
      </c>
      <c r="F16" s="88">
        <f t="shared" si="1"/>
        <v>150</v>
      </c>
      <c r="G16" s="88">
        <f t="shared" si="1"/>
        <v>150</v>
      </c>
    </row>
    <row r="17" spans="1:14" x14ac:dyDescent="0.25">
      <c r="A17">
        <v>12</v>
      </c>
      <c r="B17" s="7" t="s">
        <v>22</v>
      </c>
      <c r="C17">
        <v>70</v>
      </c>
      <c r="D17" s="88">
        <f t="shared" si="1"/>
        <v>70</v>
      </c>
      <c r="E17" s="88">
        <f t="shared" si="1"/>
        <v>70</v>
      </c>
      <c r="F17" s="88">
        <f t="shared" si="1"/>
        <v>70</v>
      </c>
      <c r="G17" s="88">
        <f t="shared" si="1"/>
        <v>70</v>
      </c>
    </row>
    <row r="18" spans="1:14" x14ac:dyDescent="0.25">
      <c r="A18">
        <v>13</v>
      </c>
      <c r="B18" s="7" t="s">
        <v>23</v>
      </c>
      <c r="C18">
        <v>30</v>
      </c>
      <c r="D18" s="88">
        <f t="shared" ref="D18:G19" si="2">C18</f>
        <v>30</v>
      </c>
      <c r="E18" s="88">
        <f t="shared" si="2"/>
        <v>30</v>
      </c>
      <c r="F18" s="88">
        <f t="shared" si="2"/>
        <v>30</v>
      </c>
      <c r="G18" s="88">
        <f t="shared" si="2"/>
        <v>30</v>
      </c>
    </row>
    <row r="19" spans="1:14" x14ac:dyDescent="0.25">
      <c r="A19">
        <v>14</v>
      </c>
      <c r="B19" s="7" t="s">
        <v>298</v>
      </c>
      <c r="C19">
        <v>0</v>
      </c>
      <c r="D19" s="88">
        <f t="shared" si="2"/>
        <v>0</v>
      </c>
      <c r="E19" s="88">
        <f t="shared" si="2"/>
        <v>0</v>
      </c>
      <c r="F19" s="88">
        <f t="shared" si="2"/>
        <v>0</v>
      </c>
      <c r="G19" s="88">
        <f t="shared" si="2"/>
        <v>0</v>
      </c>
    </row>
    <row r="20" spans="1:14" x14ac:dyDescent="0.25">
      <c r="A20">
        <v>15</v>
      </c>
      <c r="B20" s="7" t="s">
        <v>24</v>
      </c>
      <c r="C20">
        <v>50</v>
      </c>
      <c r="D20" s="88">
        <f t="shared" ref="D20:G23" si="3">C20</f>
        <v>50</v>
      </c>
      <c r="E20" s="88">
        <f t="shared" si="3"/>
        <v>50</v>
      </c>
      <c r="F20" s="88">
        <f t="shared" si="3"/>
        <v>50</v>
      </c>
      <c r="G20" s="88">
        <f t="shared" si="3"/>
        <v>50</v>
      </c>
    </row>
    <row r="21" spans="1:14" x14ac:dyDescent="0.25">
      <c r="A21">
        <v>16</v>
      </c>
      <c r="B21" s="7" t="s">
        <v>299</v>
      </c>
      <c r="C21">
        <v>0</v>
      </c>
      <c r="D21" s="88">
        <f t="shared" si="3"/>
        <v>0</v>
      </c>
      <c r="E21" s="88">
        <f t="shared" si="3"/>
        <v>0</v>
      </c>
      <c r="F21" s="88">
        <f t="shared" si="3"/>
        <v>0</v>
      </c>
      <c r="G21" s="88">
        <f t="shared" si="3"/>
        <v>0</v>
      </c>
    </row>
    <row r="22" spans="1:14" s="229" customFormat="1" x14ac:dyDescent="0.25">
      <c r="A22" s="229">
        <v>17</v>
      </c>
      <c r="B22" s="7" t="s">
        <v>388</v>
      </c>
      <c r="C22" s="229">
        <v>25</v>
      </c>
      <c r="D22" s="88">
        <f t="shared" si="3"/>
        <v>25</v>
      </c>
      <c r="E22" s="88">
        <f t="shared" si="3"/>
        <v>25</v>
      </c>
      <c r="F22" s="88">
        <f t="shared" si="3"/>
        <v>25</v>
      </c>
      <c r="G22" s="88">
        <f t="shared" si="3"/>
        <v>25</v>
      </c>
    </row>
    <row r="23" spans="1:14" s="229" customFormat="1" x14ac:dyDescent="0.25">
      <c r="A23" s="229">
        <v>18</v>
      </c>
      <c r="B23" s="7" t="s">
        <v>389</v>
      </c>
      <c r="C23" s="229">
        <v>25</v>
      </c>
      <c r="D23" s="88">
        <f t="shared" si="3"/>
        <v>25</v>
      </c>
      <c r="E23" s="88">
        <f t="shared" si="3"/>
        <v>25</v>
      </c>
      <c r="F23" s="88">
        <f t="shared" si="3"/>
        <v>25</v>
      </c>
      <c r="G23" s="88">
        <f t="shared" si="3"/>
        <v>25</v>
      </c>
    </row>
    <row r="25" spans="1:14" x14ac:dyDescent="0.25">
      <c r="B25" s="88" t="s">
        <v>248</v>
      </c>
    </row>
    <row r="28" spans="1:14" x14ac:dyDescent="0.25">
      <c r="B28" s="392" t="s">
        <v>328</v>
      </c>
      <c r="C28" s="392"/>
      <c r="D28" s="392"/>
      <c r="E28" s="392"/>
      <c r="F28" s="392"/>
      <c r="G28" s="392"/>
    </row>
    <row r="29" spans="1:14" x14ac:dyDescent="0.25">
      <c r="A29" s="393" t="s">
        <v>44</v>
      </c>
      <c r="B29" s="393" t="s">
        <v>68</v>
      </c>
      <c r="C29" s="396" t="s">
        <v>43</v>
      </c>
      <c r="D29" s="398" t="s">
        <v>46</v>
      </c>
      <c r="E29" s="399"/>
      <c r="F29" s="399"/>
      <c r="G29" s="399"/>
      <c r="H29" s="399"/>
      <c r="I29" s="400"/>
      <c r="J29" s="73"/>
      <c r="K29" s="73"/>
      <c r="L29" s="73"/>
      <c r="M29" s="73"/>
      <c r="N29" s="73"/>
    </row>
    <row r="30" spans="1:14" x14ac:dyDescent="0.25">
      <c r="A30" s="394"/>
      <c r="B30" s="395"/>
      <c r="C30" s="397"/>
      <c r="D30" s="401"/>
      <c r="E30" s="402"/>
      <c r="F30" s="402"/>
      <c r="G30" s="402"/>
      <c r="H30" s="402"/>
      <c r="I30" s="403"/>
      <c r="J30" s="73"/>
      <c r="K30" s="73"/>
      <c r="L30" s="73"/>
      <c r="M30" s="73"/>
      <c r="N30" s="73"/>
    </row>
    <row r="31" spans="1:14" x14ac:dyDescent="0.25">
      <c r="A31" s="7" t="s">
        <v>18</v>
      </c>
      <c r="B31" s="7" t="s">
        <v>99</v>
      </c>
      <c r="C31" s="11"/>
      <c r="D31" s="7" t="s">
        <v>53</v>
      </c>
      <c r="E31" s="73"/>
      <c r="F31" s="73"/>
      <c r="G31" s="73"/>
      <c r="H31" s="73"/>
      <c r="I31" s="73"/>
      <c r="J31" s="73"/>
      <c r="K31" s="73"/>
      <c r="L31" s="73"/>
      <c r="M31" s="73"/>
      <c r="N31" s="73"/>
    </row>
    <row r="32" spans="1:14" x14ac:dyDescent="0.25">
      <c r="A32" s="87" t="s">
        <v>138</v>
      </c>
      <c r="B32" s="87" t="s">
        <v>146</v>
      </c>
      <c r="C32" s="11">
        <v>135</v>
      </c>
      <c r="D32" s="73" t="s">
        <v>59</v>
      </c>
      <c r="E32" s="73"/>
      <c r="F32" s="21"/>
      <c r="G32" s="21"/>
      <c r="H32" s="73"/>
      <c r="I32" s="73"/>
      <c r="J32" s="73"/>
      <c r="K32" s="73"/>
      <c r="L32" s="73"/>
      <c r="M32" s="73"/>
      <c r="N32" s="73"/>
    </row>
    <row r="33" spans="1:14" x14ac:dyDescent="0.25">
      <c r="A33" s="87" t="s">
        <v>139</v>
      </c>
      <c r="B33" s="87" t="s">
        <v>147</v>
      </c>
      <c r="C33" s="11">
        <v>110</v>
      </c>
      <c r="D33" s="73" t="s">
        <v>61</v>
      </c>
      <c r="E33" s="73"/>
      <c r="F33" s="21"/>
      <c r="G33" s="21"/>
      <c r="H33" s="73"/>
      <c r="I33" s="73"/>
      <c r="J33" s="73"/>
      <c r="K33" s="73"/>
      <c r="L33" s="73"/>
      <c r="M33" s="73"/>
      <c r="N33" s="73"/>
    </row>
    <row r="34" spans="1:14" x14ac:dyDescent="0.25">
      <c r="A34" s="87" t="s">
        <v>140</v>
      </c>
      <c r="B34" s="87" t="s">
        <v>148</v>
      </c>
      <c r="C34" s="11">
        <v>100</v>
      </c>
      <c r="D34" s="73" t="s">
        <v>60</v>
      </c>
      <c r="E34" s="73"/>
      <c r="F34" s="21"/>
      <c r="G34" s="21"/>
      <c r="H34" s="73"/>
      <c r="I34" s="73"/>
      <c r="J34" s="73"/>
      <c r="K34" s="73"/>
      <c r="L34" s="73"/>
      <c r="M34" s="73"/>
      <c r="N34" s="73"/>
    </row>
    <row r="35" spans="1:14" x14ac:dyDescent="0.25">
      <c r="A35" s="87" t="s">
        <v>141</v>
      </c>
      <c r="B35" s="87" t="s">
        <v>149</v>
      </c>
      <c r="C35" s="11">
        <v>80</v>
      </c>
      <c r="D35" s="73" t="s">
        <v>62</v>
      </c>
      <c r="E35" s="73"/>
      <c r="F35" s="21"/>
      <c r="G35" s="21"/>
      <c r="H35" s="73"/>
      <c r="I35" s="73"/>
      <c r="J35" s="73"/>
      <c r="K35" s="73"/>
      <c r="L35" s="73"/>
      <c r="M35" s="73"/>
      <c r="N35" s="73"/>
    </row>
    <row r="36" spans="1:14" x14ac:dyDescent="0.25">
      <c r="A36" s="87" t="s">
        <v>142</v>
      </c>
      <c r="B36" s="87" t="s">
        <v>150</v>
      </c>
      <c r="C36" s="11">
        <v>55</v>
      </c>
      <c r="D36" s="73" t="s">
        <v>63</v>
      </c>
      <c r="E36" s="73"/>
      <c r="F36" s="21"/>
      <c r="G36" s="21"/>
      <c r="H36" s="73"/>
      <c r="I36" s="73"/>
      <c r="J36" s="73"/>
      <c r="K36" s="73"/>
      <c r="L36" s="73"/>
      <c r="M36" s="73"/>
      <c r="N36" s="73"/>
    </row>
    <row r="37" spans="1:14" x14ac:dyDescent="0.25">
      <c r="A37" s="7" t="s">
        <v>19</v>
      </c>
      <c r="B37" s="7" t="s">
        <v>100</v>
      </c>
      <c r="C37" s="11"/>
      <c r="D37" s="73"/>
      <c r="E37" s="73"/>
      <c r="F37" s="73"/>
      <c r="G37" s="73"/>
      <c r="H37" s="73"/>
      <c r="I37" s="73"/>
      <c r="J37" s="73"/>
      <c r="K37" s="73"/>
      <c r="L37" s="73"/>
      <c r="M37" s="73"/>
      <c r="N37" s="73"/>
    </row>
    <row r="38" spans="1:14" x14ac:dyDescent="0.25">
      <c r="A38" s="87" t="s">
        <v>138</v>
      </c>
      <c r="B38" s="87"/>
      <c r="C38" s="11">
        <v>65</v>
      </c>
      <c r="D38" s="73" t="s">
        <v>64</v>
      </c>
      <c r="E38" s="73"/>
      <c r="F38" s="21"/>
      <c r="G38" s="21"/>
      <c r="H38" s="73"/>
      <c r="I38" s="73"/>
      <c r="J38" s="73"/>
      <c r="K38" s="73"/>
      <c r="L38" s="73"/>
      <c r="M38" s="73"/>
      <c r="N38" s="73"/>
    </row>
    <row r="39" spans="1:14" x14ac:dyDescent="0.25">
      <c r="A39" s="87" t="s">
        <v>139</v>
      </c>
      <c r="B39" s="87"/>
      <c r="C39" s="11">
        <v>65</v>
      </c>
      <c r="D39" s="73"/>
      <c r="E39" s="73"/>
      <c r="F39" s="21"/>
      <c r="G39" s="21"/>
      <c r="H39" s="73"/>
      <c r="I39" s="73"/>
      <c r="J39" s="73"/>
      <c r="K39" s="73"/>
      <c r="L39" s="73"/>
      <c r="M39" s="73"/>
      <c r="N39" s="73"/>
    </row>
    <row r="40" spans="1:14" x14ac:dyDescent="0.25">
      <c r="A40" s="87" t="s">
        <v>140</v>
      </c>
      <c r="B40" s="87"/>
      <c r="C40" s="11">
        <v>50</v>
      </c>
      <c r="D40" s="73"/>
      <c r="E40" s="73"/>
      <c r="F40" s="21"/>
      <c r="G40" s="21"/>
      <c r="H40" s="73"/>
      <c r="I40" s="73"/>
      <c r="J40" s="73"/>
      <c r="K40" s="73"/>
      <c r="L40" s="73"/>
      <c r="M40" s="73"/>
      <c r="N40" s="73"/>
    </row>
    <row r="41" spans="1:14" x14ac:dyDescent="0.25">
      <c r="A41" s="87" t="s">
        <v>141</v>
      </c>
      <c r="B41" s="87"/>
      <c r="C41" s="11">
        <v>35</v>
      </c>
      <c r="D41" s="73"/>
      <c r="E41" s="73"/>
      <c r="F41" s="21"/>
      <c r="G41" s="21"/>
      <c r="H41" s="73"/>
      <c r="I41" s="73"/>
      <c r="J41" s="73"/>
      <c r="K41" s="73"/>
      <c r="L41" s="73"/>
      <c r="M41" s="73"/>
      <c r="N41" s="73"/>
    </row>
    <row r="42" spans="1:14" x14ac:dyDescent="0.25">
      <c r="A42" s="87" t="s">
        <v>142</v>
      </c>
      <c r="B42" s="87"/>
      <c r="C42" s="11">
        <v>35</v>
      </c>
      <c r="D42" s="73"/>
      <c r="E42" s="73"/>
      <c r="F42" s="21"/>
      <c r="G42" s="21"/>
      <c r="H42" s="73"/>
      <c r="I42" s="73"/>
      <c r="J42" s="73"/>
      <c r="K42" s="73"/>
      <c r="L42" s="73"/>
      <c r="M42" s="73"/>
      <c r="N42" s="73"/>
    </row>
    <row r="43" spans="1:14" x14ac:dyDescent="0.25">
      <c r="A43" s="7" t="s">
        <v>20</v>
      </c>
      <c r="B43" s="7" t="s">
        <v>101</v>
      </c>
      <c r="C43" s="11"/>
      <c r="D43" s="73"/>
      <c r="E43" s="73"/>
      <c r="F43" s="73"/>
      <c r="G43" s="73"/>
      <c r="H43" s="73"/>
      <c r="I43" s="73"/>
      <c r="J43" s="73"/>
      <c r="K43" s="73"/>
      <c r="L43" s="73"/>
      <c r="M43" s="73"/>
      <c r="N43" s="73"/>
    </row>
    <row r="44" spans="1:14" x14ac:dyDescent="0.25">
      <c r="A44" s="87" t="s">
        <v>138</v>
      </c>
      <c r="B44" s="87"/>
      <c r="C44" s="11">
        <v>30</v>
      </c>
      <c r="D44" s="73" t="s">
        <v>65</v>
      </c>
      <c r="E44" s="73"/>
      <c r="F44" s="21"/>
      <c r="G44" s="21"/>
      <c r="H44" s="73"/>
      <c r="I44" s="73"/>
      <c r="J44" s="73"/>
      <c r="K44" s="73"/>
      <c r="L44" s="73"/>
      <c r="M44" s="73"/>
      <c r="N44" s="73"/>
    </row>
    <row r="45" spans="1:14" x14ac:dyDescent="0.25">
      <c r="A45" s="87" t="s">
        <v>139</v>
      </c>
      <c r="B45" s="87"/>
      <c r="C45" s="11">
        <v>30</v>
      </c>
      <c r="D45" s="73"/>
      <c r="E45" s="73"/>
      <c r="F45" s="21"/>
      <c r="G45" s="21"/>
      <c r="H45" s="73"/>
      <c r="I45" s="73"/>
      <c r="J45" s="73"/>
      <c r="K45" s="73"/>
      <c r="L45" s="73"/>
      <c r="M45" s="73"/>
      <c r="N45" s="73"/>
    </row>
    <row r="46" spans="1:14" x14ac:dyDescent="0.25">
      <c r="A46" s="87" t="s">
        <v>140</v>
      </c>
      <c r="B46" s="87"/>
      <c r="C46" s="11">
        <v>25</v>
      </c>
      <c r="D46" s="73"/>
      <c r="E46" s="73"/>
      <c r="F46" s="21"/>
      <c r="G46" s="21"/>
      <c r="H46" s="73"/>
      <c r="I46" s="73"/>
      <c r="J46" s="73"/>
      <c r="K46" s="73"/>
      <c r="L46" s="73"/>
      <c r="M46" s="73"/>
      <c r="N46" s="73"/>
    </row>
    <row r="47" spans="1:14" x14ac:dyDescent="0.25">
      <c r="A47" s="87" t="s">
        <v>141</v>
      </c>
      <c r="B47" s="87"/>
      <c r="C47" s="11">
        <v>20</v>
      </c>
      <c r="D47" s="73"/>
      <c r="E47" s="73"/>
      <c r="F47" s="21"/>
      <c r="G47" s="21"/>
      <c r="H47" s="73"/>
      <c r="I47" s="73"/>
      <c r="J47" s="73"/>
      <c r="K47" s="73"/>
      <c r="L47" s="73"/>
      <c r="M47" s="73"/>
      <c r="N47" s="73"/>
    </row>
    <row r="48" spans="1:14" x14ac:dyDescent="0.25">
      <c r="A48" s="87" t="s">
        <v>142</v>
      </c>
      <c r="B48" s="87"/>
      <c r="C48" s="11">
        <v>20</v>
      </c>
      <c r="D48" s="73"/>
      <c r="E48" s="73"/>
      <c r="F48" s="21"/>
      <c r="G48" s="21"/>
      <c r="H48" s="73"/>
      <c r="I48" s="73"/>
      <c r="J48" s="73"/>
      <c r="K48" s="73"/>
      <c r="L48" s="73"/>
      <c r="M48" s="73"/>
      <c r="N48" s="73"/>
    </row>
    <row r="49" spans="1:14" x14ac:dyDescent="0.25">
      <c r="A49" s="22" t="s">
        <v>30</v>
      </c>
      <c r="B49" s="22" t="s">
        <v>75</v>
      </c>
      <c r="C49" s="11"/>
      <c r="D49" s="7" t="s">
        <v>54</v>
      </c>
      <c r="E49" s="73"/>
      <c r="F49" s="73"/>
      <c r="G49" s="73"/>
      <c r="H49" s="73"/>
      <c r="I49" s="73"/>
      <c r="J49" s="73"/>
      <c r="K49" s="73"/>
      <c r="L49" s="73"/>
      <c r="M49" s="73"/>
      <c r="N49" s="73"/>
    </row>
    <row r="50" spans="1:14" x14ac:dyDescent="0.25">
      <c r="A50" s="87" t="s">
        <v>138</v>
      </c>
      <c r="B50" s="87"/>
      <c r="C50" s="11">
        <v>120</v>
      </c>
      <c r="D50" s="73" t="s">
        <v>56</v>
      </c>
      <c r="E50" s="73"/>
      <c r="F50" s="23"/>
      <c r="G50" s="23"/>
      <c r="H50" s="73"/>
      <c r="I50" s="73"/>
      <c r="J50" s="73"/>
      <c r="K50" s="73"/>
      <c r="L50" s="73"/>
      <c r="M50" s="73"/>
      <c r="N50" s="73"/>
    </row>
    <row r="51" spans="1:14" x14ac:dyDescent="0.25">
      <c r="A51" s="87" t="s">
        <v>139</v>
      </c>
      <c r="B51" s="87"/>
      <c r="C51" s="11">
        <v>120</v>
      </c>
      <c r="D51" s="73"/>
      <c r="E51" s="73"/>
      <c r="F51" s="23"/>
      <c r="G51" s="23"/>
      <c r="H51" s="73"/>
      <c r="I51" s="73"/>
      <c r="J51" s="73"/>
      <c r="K51" s="73"/>
      <c r="L51" s="73"/>
      <c r="M51" s="73"/>
      <c r="N51" s="73"/>
    </row>
    <row r="52" spans="1:14" x14ac:dyDescent="0.25">
      <c r="A52" s="87" t="s">
        <v>140</v>
      </c>
      <c r="B52" s="87"/>
      <c r="C52" s="11">
        <v>120</v>
      </c>
      <c r="D52" s="73"/>
      <c r="E52" s="73"/>
      <c r="F52" s="23"/>
      <c r="G52" s="23"/>
      <c r="H52" s="73"/>
      <c r="I52" s="73"/>
      <c r="J52" s="73"/>
      <c r="K52" s="73"/>
      <c r="L52" s="73"/>
      <c r="M52" s="73"/>
      <c r="N52" s="73"/>
    </row>
    <row r="53" spans="1:14" x14ac:dyDescent="0.25">
      <c r="A53" s="87" t="s">
        <v>141</v>
      </c>
      <c r="B53" s="87"/>
      <c r="C53" s="11" t="s">
        <v>17</v>
      </c>
      <c r="D53" s="73"/>
      <c r="E53" s="73"/>
      <c r="F53" s="23"/>
      <c r="G53" s="23"/>
      <c r="H53" s="73"/>
      <c r="I53" s="73"/>
      <c r="J53" s="73"/>
      <c r="K53" s="73"/>
      <c r="L53" s="73"/>
      <c r="M53" s="73"/>
      <c r="N53" s="73"/>
    </row>
    <row r="54" spans="1:14" x14ac:dyDescent="0.25">
      <c r="A54" s="87" t="s">
        <v>142</v>
      </c>
      <c r="B54" s="87"/>
      <c r="C54" s="11" t="s">
        <v>17</v>
      </c>
      <c r="D54" s="73"/>
      <c r="E54" s="73"/>
      <c r="F54" s="23"/>
      <c r="G54" s="23"/>
      <c r="H54" s="73"/>
      <c r="I54" s="73"/>
      <c r="J54" s="73"/>
      <c r="K54" s="73"/>
      <c r="L54" s="73"/>
      <c r="M54" s="73"/>
      <c r="N54" s="73"/>
    </row>
    <row r="55" spans="1:14" x14ac:dyDescent="0.25">
      <c r="A55" s="7" t="s">
        <v>21</v>
      </c>
      <c r="B55" s="7" t="s">
        <v>73</v>
      </c>
      <c r="C55" s="11"/>
      <c r="D55" s="7" t="s">
        <v>54</v>
      </c>
      <c r="E55" s="73"/>
      <c r="F55" s="73"/>
      <c r="G55" s="73"/>
      <c r="H55" s="73"/>
      <c r="I55" s="73"/>
      <c r="J55" s="73"/>
      <c r="K55" s="73"/>
      <c r="L55" s="73"/>
      <c r="M55" s="73"/>
      <c r="N55" s="73"/>
    </row>
    <row r="56" spans="1:14" x14ac:dyDescent="0.25">
      <c r="A56" s="87" t="s">
        <v>138</v>
      </c>
      <c r="B56" s="87"/>
      <c r="C56" s="11">
        <v>160</v>
      </c>
      <c r="D56" s="73" t="s">
        <v>57</v>
      </c>
      <c r="E56" s="73"/>
      <c r="F56" s="23"/>
      <c r="G56" s="23"/>
      <c r="H56" s="73"/>
      <c r="I56" s="73"/>
      <c r="J56" s="73"/>
      <c r="K56" s="73"/>
      <c r="L56" s="73"/>
      <c r="M56" s="73"/>
      <c r="N56" s="73"/>
    </row>
    <row r="57" spans="1:14" x14ac:dyDescent="0.25">
      <c r="A57" s="87" t="s">
        <v>139</v>
      </c>
      <c r="B57" s="87"/>
      <c r="C57" s="11">
        <v>160</v>
      </c>
      <c r="D57" s="73"/>
      <c r="E57" s="73"/>
      <c r="F57" s="23"/>
      <c r="G57" s="23"/>
      <c r="H57" s="73"/>
      <c r="I57" s="73"/>
      <c r="J57" s="73"/>
      <c r="K57" s="73"/>
      <c r="L57" s="73"/>
      <c r="M57" s="73"/>
      <c r="N57" s="73"/>
    </row>
    <row r="58" spans="1:14" x14ac:dyDescent="0.25">
      <c r="A58" s="87" t="s">
        <v>140</v>
      </c>
      <c r="B58" s="87"/>
      <c r="C58" s="11">
        <v>160</v>
      </c>
      <c r="D58" s="73"/>
      <c r="E58" s="73"/>
      <c r="F58" s="23"/>
      <c r="G58" s="23"/>
      <c r="H58" s="73"/>
      <c r="I58" s="73"/>
      <c r="J58" s="73"/>
      <c r="K58" s="73"/>
      <c r="L58" s="73"/>
      <c r="M58" s="73"/>
      <c r="N58" s="73"/>
    </row>
    <row r="59" spans="1:14" x14ac:dyDescent="0.25">
      <c r="A59" s="87" t="s">
        <v>141</v>
      </c>
      <c r="B59" s="87"/>
      <c r="C59" s="11" t="s">
        <v>17</v>
      </c>
      <c r="D59" s="73"/>
      <c r="E59" s="73"/>
      <c r="F59" s="23"/>
      <c r="G59" s="23"/>
      <c r="H59" s="73"/>
      <c r="I59" s="73"/>
      <c r="J59" s="73"/>
      <c r="K59" s="73"/>
      <c r="L59" s="73"/>
      <c r="M59" s="73"/>
      <c r="N59" s="73"/>
    </row>
    <row r="60" spans="1:14" x14ac:dyDescent="0.25">
      <c r="A60" s="87" t="s">
        <v>142</v>
      </c>
      <c r="B60" s="87"/>
      <c r="C60" s="11" t="s">
        <v>17</v>
      </c>
      <c r="D60" s="73"/>
      <c r="E60" s="73"/>
      <c r="F60" s="23"/>
      <c r="G60" s="23"/>
      <c r="H60" s="73"/>
      <c r="I60" s="73"/>
      <c r="J60" s="73"/>
      <c r="K60" s="73"/>
      <c r="L60" s="73"/>
      <c r="M60" s="73"/>
      <c r="N60" s="73"/>
    </row>
    <row r="61" spans="1:14" x14ac:dyDescent="0.25">
      <c r="A61" s="7" t="s">
        <v>22</v>
      </c>
      <c r="B61" s="7" t="s">
        <v>74</v>
      </c>
      <c r="C61" s="11"/>
      <c r="D61" s="7" t="s">
        <v>55</v>
      </c>
      <c r="E61" s="73"/>
      <c r="F61" s="73"/>
      <c r="G61" s="73"/>
      <c r="H61" s="73"/>
      <c r="I61" s="73"/>
      <c r="J61" s="73"/>
      <c r="K61" s="73"/>
      <c r="L61" s="73"/>
      <c r="M61" s="73"/>
      <c r="N61" s="73"/>
    </row>
    <row r="62" spans="1:14" x14ac:dyDescent="0.25">
      <c r="A62" s="87" t="s">
        <v>138</v>
      </c>
      <c r="B62" s="87"/>
      <c r="C62" s="24">
        <f>ROUND(0.3*D63+0.25*E63+0.18*F63+0.16*G63+0.14*H63,-1)</f>
        <v>70</v>
      </c>
      <c r="D62" s="87" t="s">
        <v>130</v>
      </c>
      <c r="E62" s="11"/>
      <c r="F62" s="23"/>
      <c r="G62" s="23"/>
      <c r="H62" s="73"/>
      <c r="I62" s="73"/>
      <c r="J62" s="73"/>
      <c r="K62" s="73"/>
      <c r="L62" s="73"/>
      <c r="M62" s="73"/>
      <c r="N62" s="73"/>
    </row>
    <row r="63" spans="1:14" x14ac:dyDescent="0.25">
      <c r="A63" s="87" t="s">
        <v>139</v>
      </c>
      <c r="B63" s="87"/>
      <c r="C63" s="11" t="s">
        <v>17</v>
      </c>
      <c r="D63" s="25">
        <f>712.5*(1-0.88)</f>
        <v>85.5</v>
      </c>
      <c r="E63" s="18">
        <f>446.5*(1-0.88)</f>
        <v>53.58</v>
      </c>
      <c r="F63" s="25">
        <f>498.8*(1-0.88)*2</f>
        <v>119.712</v>
      </c>
      <c r="G63" s="25">
        <f>152*(1-0.88)*2</f>
        <v>36.479999999999997</v>
      </c>
      <c r="H63" s="25">
        <f>90*(1-0.88)*2</f>
        <v>21.599999999999998</v>
      </c>
      <c r="I63" s="26" t="s">
        <v>67</v>
      </c>
      <c r="J63" s="73"/>
      <c r="K63" s="73"/>
      <c r="L63" s="73"/>
      <c r="M63" s="73"/>
      <c r="N63" s="73"/>
    </row>
    <row r="64" spans="1:14" x14ac:dyDescent="0.25">
      <c r="A64" s="87" t="s">
        <v>140</v>
      </c>
      <c r="B64" s="87"/>
      <c r="C64" s="11" t="s">
        <v>17</v>
      </c>
      <c r="D64" s="87"/>
      <c r="E64" s="11"/>
      <c r="F64" s="23"/>
      <c r="G64" s="23"/>
      <c r="H64" s="73"/>
      <c r="I64" s="73"/>
      <c r="J64" s="73"/>
      <c r="K64" s="73"/>
      <c r="L64" s="73"/>
      <c r="M64" s="73"/>
      <c r="N64" s="73"/>
    </row>
    <row r="65" spans="1:14" x14ac:dyDescent="0.25">
      <c r="A65" s="87" t="s">
        <v>141</v>
      </c>
      <c r="B65" s="87"/>
      <c r="C65" s="11" t="s">
        <v>17</v>
      </c>
      <c r="D65" s="87"/>
      <c r="E65" s="11"/>
      <c r="F65" s="23"/>
      <c r="G65" s="23"/>
      <c r="H65" s="73"/>
      <c r="I65" s="73"/>
      <c r="J65" s="73"/>
      <c r="K65" s="73"/>
      <c r="L65" s="73"/>
      <c r="M65" s="73"/>
      <c r="N65" s="73"/>
    </row>
    <row r="66" spans="1:14" x14ac:dyDescent="0.25">
      <c r="A66" s="87" t="s">
        <v>142</v>
      </c>
      <c r="B66" s="87"/>
      <c r="C66" s="11" t="s">
        <v>17</v>
      </c>
      <c r="D66" s="11"/>
      <c r="E66" s="11"/>
      <c r="F66" s="23"/>
      <c r="G66" s="23"/>
      <c r="H66" s="73"/>
      <c r="I66" s="73"/>
      <c r="J66" s="73"/>
      <c r="K66" s="73"/>
      <c r="L66" s="73"/>
      <c r="M66" s="73"/>
      <c r="N66" s="73"/>
    </row>
    <row r="67" spans="1:14" x14ac:dyDescent="0.25">
      <c r="A67" s="7" t="s">
        <v>23</v>
      </c>
      <c r="B67" s="7" t="s">
        <v>76</v>
      </c>
      <c r="C67" s="11"/>
      <c r="D67" s="7" t="s">
        <v>58</v>
      </c>
      <c r="E67" s="73"/>
      <c r="F67" s="73"/>
      <c r="G67" s="73"/>
      <c r="H67" s="73"/>
      <c r="I67" s="73"/>
      <c r="J67" s="73"/>
      <c r="K67" s="73"/>
      <c r="L67" s="73"/>
      <c r="M67" s="73"/>
      <c r="N67" s="73"/>
    </row>
    <row r="68" spans="1:14" x14ac:dyDescent="0.25">
      <c r="A68" s="87" t="s">
        <v>138</v>
      </c>
      <c r="B68" s="87"/>
      <c r="C68" s="27">
        <f>ROUND(0.4*D68+0.4*E68+0.2*F68,-1)</f>
        <v>30</v>
      </c>
      <c r="D68" s="17">
        <f>40000/100*(1-0.88)</f>
        <v>48</v>
      </c>
      <c r="E68" s="18">
        <f>11250/100*(1-0.86)</f>
        <v>15.750000000000002</v>
      </c>
      <c r="F68" s="18">
        <f>15000/100*(1-0.88)</f>
        <v>18</v>
      </c>
      <c r="G68" s="26" t="s">
        <v>51</v>
      </c>
      <c r="H68" s="73"/>
      <c r="I68" s="73"/>
      <c r="J68" s="73"/>
      <c r="K68" s="73"/>
      <c r="L68" s="73"/>
      <c r="M68" s="73"/>
      <c r="N68" s="73"/>
    </row>
    <row r="69" spans="1:14" x14ac:dyDescent="0.25">
      <c r="A69" s="87" t="s">
        <v>139</v>
      </c>
      <c r="B69" s="87"/>
      <c r="C69" s="28" t="s">
        <v>17</v>
      </c>
      <c r="D69" s="11"/>
      <c r="E69" s="11"/>
      <c r="F69" s="23"/>
      <c r="G69" s="23"/>
      <c r="H69" s="73"/>
      <c r="I69" s="73"/>
      <c r="J69" s="73"/>
      <c r="K69" s="73"/>
      <c r="L69" s="73"/>
      <c r="M69" s="73"/>
      <c r="N69" s="73"/>
    </row>
    <row r="70" spans="1:14" x14ac:dyDescent="0.25">
      <c r="A70" s="87" t="s">
        <v>140</v>
      </c>
      <c r="B70" s="87"/>
      <c r="C70" s="11" t="s">
        <v>17</v>
      </c>
      <c r="D70" s="29" t="s">
        <v>66</v>
      </c>
      <c r="E70" s="11"/>
      <c r="F70" s="23"/>
      <c r="G70" s="23"/>
      <c r="H70" s="73"/>
      <c r="I70" s="73"/>
      <c r="J70" s="73"/>
      <c r="K70" s="73"/>
      <c r="L70" s="73"/>
      <c r="M70" s="73"/>
      <c r="N70" s="73"/>
    </row>
    <row r="71" spans="1:14" x14ac:dyDescent="0.25">
      <c r="A71" s="87" t="s">
        <v>141</v>
      </c>
      <c r="B71" s="87"/>
      <c r="C71" s="11" t="s">
        <v>17</v>
      </c>
      <c r="D71" s="11"/>
      <c r="E71" s="11"/>
      <c r="F71" s="23"/>
      <c r="G71" s="23"/>
      <c r="H71" s="73"/>
      <c r="I71" s="73"/>
      <c r="J71" s="73"/>
      <c r="K71" s="73"/>
      <c r="L71" s="73"/>
      <c r="M71" s="73"/>
      <c r="N71" s="73"/>
    </row>
    <row r="72" spans="1:14" x14ac:dyDescent="0.25">
      <c r="A72" s="87" t="s">
        <v>142</v>
      </c>
      <c r="B72" s="87"/>
      <c r="C72" s="11" t="s">
        <v>17</v>
      </c>
      <c r="D72" s="11"/>
      <c r="E72" s="11"/>
      <c r="F72" s="23"/>
      <c r="G72" s="23"/>
      <c r="H72" s="73"/>
      <c r="I72" s="73"/>
      <c r="J72" s="73"/>
      <c r="K72" s="73"/>
      <c r="L72" s="73"/>
      <c r="M72" s="73"/>
      <c r="N72" s="73"/>
    </row>
    <row r="73" spans="1:14" x14ac:dyDescent="0.25">
      <c r="A73" s="7" t="s">
        <v>24</v>
      </c>
      <c r="B73" s="7" t="s">
        <v>78</v>
      </c>
      <c r="C73" s="11"/>
      <c r="D73" s="7" t="s">
        <v>54</v>
      </c>
      <c r="E73" s="73"/>
      <c r="F73" s="73"/>
      <c r="G73" s="73"/>
      <c r="H73" s="73"/>
      <c r="I73" s="73"/>
      <c r="J73" s="73"/>
      <c r="K73" s="73"/>
      <c r="L73" s="73"/>
      <c r="M73" s="73"/>
      <c r="N73" s="73"/>
    </row>
    <row r="74" spans="1:14" x14ac:dyDescent="0.25">
      <c r="A74" s="87" t="s">
        <v>138</v>
      </c>
      <c r="B74" s="87"/>
      <c r="C74" s="11">
        <v>55</v>
      </c>
      <c r="D74" s="11"/>
      <c r="E74" s="11"/>
      <c r="F74" s="23"/>
      <c r="G74" s="23"/>
      <c r="H74" s="73"/>
      <c r="I74" s="73"/>
      <c r="J74" s="73"/>
      <c r="K74" s="73"/>
      <c r="L74" s="73"/>
      <c r="M74" s="73"/>
      <c r="N74" s="73"/>
    </row>
    <row r="75" spans="1:14" x14ac:dyDescent="0.25">
      <c r="A75" s="87" t="s">
        <v>139</v>
      </c>
      <c r="B75" s="87"/>
      <c r="C75" s="11" t="s">
        <v>17</v>
      </c>
      <c r="D75" s="11"/>
      <c r="E75" s="11"/>
      <c r="F75" s="23"/>
      <c r="G75" s="23"/>
      <c r="H75" s="73"/>
      <c r="I75" s="73"/>
      <c r="J75" s="73"/>
      <c r="K75" s="73"/>
      <c r="L75" s="73"/>
      <c r="M75" s="73"/>
      <c r="N75" s="73"/>
    </row>
    <row r="76" spans="1:14" x14ac:dyDescent="0.25">
      <c r="A76" s="87" t="s">
        <v>140</v>
      </c>
      <c r="B76" s="87"/>
      <c r="C76" s="11" t="s">
        <v>17</v>
      </c>
      <c r="D76" s="11"/>
      <c r="E76" s="11"/>
      <c r="F76" s="23"/>
      <c r="G76" s="23"/>
      <c r="H76" s="73"/>
      <c r="I76" s="73"/>
      <c r="J76" s="73"/>
      <c r="K76" s="73"/>
      <c r="L76" s="73"/>
      <c r="M76" s="73"/>
      <c r="N76" s="73"/>
    </row>
    <row r="77" spans="1:14" x14ac:dyDescent="0.25">
      <c r="A77" s="87" t="s">
        <v>141</v>
      </c>
      <c r="B77" s="87"/>
      <c r="C77" s="11" t="s">
        <v>17</v>
      </c>
      <c r="D77" s="73"/>
      <c r="E77" s="73"/>
      <c r="F77" s="73"/>
      <c r="G77" s="73"/>
      <c r="H77" s="73"/>
      <c r="I77" s="73"/>
      <c r="J77" s="73"/>
      <c r="K77" s="73"/>
      <c r="L77" s="73"/>
      <c r="M77" s="73"/>
      <c r="N77" s="73"/>
    </row>
    <row r="78" spans="1:14" x14ac:dyDescent="0.25">
      <c r="A78" s="87" t="s">
        <v>142</v>
      </c>
      <c r="B78" s="87"/>
      <c r="C78" s="11" t="s">
        <v>17</v>
      </c>
      <c r="D78" s="73"/>
      <c r="E78" s="73"/>
      <c r="F78" s="73"/>
      <c r="G78" s="73"/>
      <c r="H78" s="73"/>
      <c r="I78" s="73"/>
      <c r="J78" s="73"/>
      <c r="K78" s="73"/>
      <c r="L78" s="73"/>
      <c r="M78" s="73"/>
      <c r="N78" s="73"/>
    </row>
  </sheetData>
  <mergeCells count="5">
    <mergeCell ref="B28:G28"/>
    <mergeCell ref="A29:A30"/>
    <mergeCell ref="B29:B30"/>
    <mergeCell ref="C29:C30"/>
    <mergeCell ref="D29:I3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Explications</vt:lpstr>
      <vt:lpstr>FR Grangeneuve</vt:lpstr>
      <vt:lpstr>Sprache+DB</vt:lpstr>
      <vt:lpstr>Auswahl</vt:lpstr>
      <vt:lpstr>Werte TS</vt:lpstr>
      <vt:lpstr>'FR Grangeneuve'!Zone_d_impression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Brünisholz-Möri Eveline</dc:creator>
  <cp:lastModifiedBy>Hungerbühler Ivan</cp:lastModifiedBy>
  <cp:lastPrinted>2022-12-13T15:08:44Z</cp:lastPrinted>
  <dcterms:created xsi:type="dcterms:W3CDTF">2014-08-18T15:42:51Z</dcterms:created>
  <dcterms:modified xsi:type="dcterms:W3CDTF">2022-12-13T15:10:53Z</dcterms:modified>
</cp:coreProperties>
</file>