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abeguerieM\Downloads\"/>
    </mc:Choice>
  </mc:AlternateContent>
  <xr:revisionPtr revIDLastSave="0" documentId="13_ncr:1_{F6AC1887-9B51-4D0D-BB9E-FC7ED4C5E462}" xr6:coauthVersionLast="47" xr6:coauthVersionMax="47" xr10:uidLastSave="{00000000-0000-0000-0000-000000000000}"/>
  <bookViews>
    <workbookView showHorizontalScroll="0" xWindow="28680" yWindow="-120" windowWidth="51840" windowHeight="21120" xr2:uid="{4BCECAC9-512D-4887-91DB-C4AAA4D8E1B0}"/>
  </bookViews>
  <sheets>
    <sheet name="Description" sheetId="5" r:id="rId1"/>
    <sheet name="Calculateur" sheetId="6" r:id="rId2"/>
    <sheet name="Récapitulatif financier" sheetId="2" state="hidden" r:id="rId3"/>
  </sheets>
  <definedNames>
    <definedName name="Nb_Bat">Calculateur!$C$6</definedName>
    <definedName name="Nb_Cla_Std">Calculateur!$C$9</definedName>
    <definedName name="TotalEtages">Calculateur!$C$7</definedName>
    <definedName name="TotalSalles">Calculateur!$C$11</definedName>
    <definedName name="_xlnm.Print_Area" localSheetId="1">Calculateur!$A$1:$J$68</definedName>
    <definedName name="_xlnm.Print_Area" localSheetId="0">Description!$A$1:$E$10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6" l="1"/>
  <c r="F29" i="6" s="1"/>
  <c r="F30" i="6"/>
  <c r="C26" i="6"/>
  <c r="I27" i="2"/>
  <c r="H27" i="2"/>
  <c r="G27" i="2"/>
  <c r="C39" i="6"/>
  <c r="D39" i="6" s="1"/>
  <c r="I39" i="6" s="1"/>
  <c r="C20" i="6"/>
  <c r="D20" i="6" s="1"/>
  <c r="I20" i="6" s="1"/>
  <c r="C25" i="6"/>
  <c r="D25" i="6" s="1"/>
  <c r="C24" i="6"/>
  <c r="C23" i="6"/>
  <c r="C22" i="6"/>
  <c r="E24" i="6"/>
  <c r="G24" i="6" s="1"/>
  <c r="E22" i="6"/>
  <c r="G22" i="6" s="1"/>
  <c r="J25" i="6"/>
  <c r="E12" i="2"/>
  <c r="E23" i="6"/>
  <c r="G23" i="6" s="1"/>
  <c r="E32" i="2"/>
  <c r="E33" i="2" s="1"/>
  <c r="E34" i="2" s="1"/>
  <c r="D32" i="2"/>
  <c r="D33" i="2" s="1"/>
  <c r="C31" i="2"/>
  <c r="C33" i="2" s="1"/>
  <c r="C34" i="2" s="1"/>
  <c r="B31" i="2"/>
  <c r="B33" i="2" s="1"/>
  <c r="E36" i="6" l="1"/>
  <c r="G36" i="6" s="1"/>
  <c r="I25" i="6"/>
  <c r="I22" i="6"/>
  <c r="I23" i="6"/>
  <c r="I24" i="6"/>
  <c r="D44" i="6"/>
  <c r="I36" i="6"/>
  <c r="C29" i="6"/>
  <c r="C28" i="6"/>
  <c r="C19" i="6"/>
  <c r="C34" i="6"/>
  <c r="C18" i="6"/>
  <c r="C32" i="6"/>
  <c r="C21" i="6"/>
  <c r="C33" i="6"/>
  <c r="C35" i="6"/>
  <c r="C30" i="6"/>
  <c r="C36" i="6"/>
  <c r="D26" i="6"/>
  <c r="I26" i="6" s="1"/>
  <c r="C37" i="6"/>
  <c r="E21" i="6"/>
  <c r="E35" i="6"/>
  <c r="E29" i="6"/>
  <c r="G29" i="6" s="1"/>
  <c r="E33" i="6"/>
  <c r="E18" i="6"/>
  <c r="G18" i="6" s="1"/>
  <c r="E30" i="6"/>
  <c r="G30" i="6" s="1"/>
  <c r="E28" i="6"/>
  <c r="G28" i="6" s="1"/>
  <c r="F32" i="6"/>
  <c r="F23" i="6"/>
  <c r="F19" i="6"/>
  <c r="F36" i="6"/>
  <c r="F28" i="6"/>
  <c r="F21" i="6"/>
  <c r="F34" i="6"/>
  <c r="F24" i="6"/>
  <c r="F33" i="6"/>
  <c r="F37" i="6"/>
  <c r="F18" i="6"/>
  <c r="F22" i="6"/>
  <c r="F35" i="6"/>
  <c r="E32" i="6"/>
  <c r="E34" i="6"/>
  <c r="E37" i="6"/>
  <c r="E19" i="6"/>
  <c r="D47" i="6" l="1"/>
  <c r="G32" i="6"/>
  <c r="I32" i="6"/>
  <c r="G35" i="6"/>
  <c r="I35" i="6"/>
  <c r="I21" i="6"/>
  <c r="G21" i="6"/>
  <c r="G19" i="6"/>
  <c r="I19" i="6"/>
  <c r="I18" i="6"/>
  <c r="G37" i="6"/>
  <c r="I37" i="6"/>
  <c r="I33" i="6"/>
  <c r="G33" i="6"/>
  <c r="G34" i="6"/>
  <c r="I34" i="6"/>
  <c r="D42" i="6" l="1"/>
  <c r="D43" i="6"/>
  <c r="D45" i="6" s="1"/>
  <c r="AQ62" i="6"/>
  <c r="AR56" i="6"/>
  <c r="AQ56" i="6"/>
  <c r="AS56" i="6"/>
  <c r="AV56" i="6"/>
  <c r="AU56" i="6"/>
  <c r="AT56" i="6"/>
  <c r="AP56" i="6" l="1"/>
  <c r="AP62" i="6"/>
  <c r="D48" i="6"/>
  <c r="AS62" i="6"/>
  <c r="AV62" i="6"/>
  <c r="AR62" i="6"/>
  <c r="AU62" i="6"/>
  <c r="AT62" i="6"/>
  <c r="AW62" i="6" l="1"/>
  <c r="AW5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Bersier Christian</author>
    <author>Thierry</author>
    <author>Timon Rimensberger</author>
  </authors>
  <commentList>
    <comment ref="B20" authorId="0" shapeId="0" xr:uid="{5CCFA357-F8F8-4D09-80F3-B96E96B3B2C4}">
      <text>
        <r>
          <rPr>
            <sz val="9"/>
            <color rgb="FF000000"/>
            <rFont val="Tahoma"/>
            <family val="2"/>
          </rPr>
          <t>valeur non modifiable définie sur la base de 1 par bâtiments avec des antennes WiFi à gérer</t>
        </r>
      </text>
    </comment>
    <comment ref="B25" authorId="0" shapeId="0" xr:uid="{1CE9BC7F-69E4-4612-A801-BE8483959E55}">
      <text>
        <r>
          <rPr>
            <sz val="9"/>
            <color rgb="FF000000"/>
            <rFont val="Tahoma"/>
            <family val="2"/>
          </rPr>
          <t>valeur non modifiable définie sur la base de 1 firewall par accès Internet (calcul sur la base du module "managed security" de SAI)</t>
        </r>
      </text>
    </comment>
    <comment ref="B26" authorId="0" shapeId="0" xr:uid="{EB2EA1AE-29B9-4A72-8C19-BE6ECAD51A74}">
      <text>
        <r>
          <rPr>
            <sz val="9"/>
            <color rgb="FF000000"/>
            <rFont val="Tahoma"/>
            <family val="2"/>
          </rPr>
          <t>valeur non modifiable définie sur la base de 1 unité de coûts par étages cumulés</t>
        </r>
      </text>
    </comment>
    <comment ref="E28" authorId="1" shapeId="0" xr:uid="{6EC4A189-89DA-5442-AC2F-10AF0983BC61}">
      <text>
        <r>
          <rPr>
            <sz val="10"/>
            <color rgb="FF000000"/>
            <rFont val="Tahoma"/>
            <family val="2"/>
          </rPr>
          <t>Infra bâtiment : En principe pas à renouveler tous les 7 ans, ou pris dans les coûts d'entretien du bâtiment</t>
        </r>
      </text>
    </comment>
    <comment ref="B32" authorId="2" shapeId="0" xr:uid="{BD73E75C-EEAA-483C-9217-9CAF7B345F4E}">
      <text>
        <r>
          <rPr>
            <sz val="9"/>
            <color indexed="81"/>
            <rFont val="Tahoma"/>
            <family val="2"/>
          </rPr>
          <t>Non-interatif, selon les recommandations du Plan d'action en faveur de l'éducation numérique de l'AP-CIIP de novembre 2018.</t>
        </r>
      </text>
    </comment>
    <comment ref="B39" authorId="0" shapeId="0" xr:uid="{36C997C3-1748-432B-9615-C9F33A882D72}">
      <text>
        <r>
          <rPr>
            <sz val="9"/>
            <color rgb="FF000000"/>
            <rFont val="Tahoma"/>
            <family val="2"/>
          </rPr>
          <t>valeur non modifiable définie sur la base de 1 appareil par bâtiment scolaire (location sans les coûts d'impression par feuille)</t>
        </r>
      </text>
    </comment>
  </commentList>
</comments>
</file>

<file path=xl/sharedStrings.xml><?xml version="1.0" encoding="utf-8"?>
<sst xmlns="http://schemas.openxmlformats.org/spreadsheetml/2006/main" count="178" uniqueCount="139">
  <si>
    <t>DESCRIPTION</t>
  </si>
  <si>
    <t>OBJECTIF</t>
  </si>
  <si>
    <r>
      <t xml:space="preserve">Ce calculateur a pour objectif d'aider les communes à estimer les coûts d'investissement et de maintenance de l'infrastructure TIC nécessaires dans les salles de cours des bâtiments scolaires pour répondre aux standards fixés dans la Stratégie EdNum de l’école obligatoire et spécialisée du canton de Fribourg.
Les montants sont calculés sur la base de prix moyens pour des équipements standards et une infrastructure conventionelle. Les totaux des coûts annuels et uniques donnent une information estimative et sans garantie à la commune. 
Les </t>
    </r>
    <r>
      <rPr>
        <i/>
        <sz val="11"/>
        <color theme="1"/>
        <rFont val="Calibri"/>
        <family val="2"/>
        <scheme val="minor"/>
      </rPr>
      <t>coûts totaux uniques initiaux</t>
    </r>
    <r>
      <rPr>
        <sz val="11"/>
        <color theme="1"/>
        <rFont val="Calibri"/>
        <family val="2"/>
        <scheme val="minor"/>
      </rPr>
      <t xml:space="preserve"> sont les coûts d'investissement pour acquérir les éléments liés à la connexion et aux périphériques,  et les</t>
    </r>
    <r>
      <rPr>
        <i/>
        <sz val="11"/>
        <color theme="1"/>
        <rFont val="Calibri"/>
        <family val="2"/>
        <scheme val="minor"/>
      </rPr>
      <t xml:space="preserve"> coûts totaux de renouvellement</t>
    </r>
    <r>
      <rPr>
        <sz val="11"/>
        <color theme="1"/>
        <rFont val="Calibri"/>
        <family val="2"/>
        <scheme val="minor"/>
      </rPr>
      <t xml:space="preserve"> prévoyent un renouvellement de ces derniers tous les 7 ans. A remarquer que la durée de vie réelle du matériel va dépendre de son taux d'utilisation et de sa qualité.
En fonction de la volumétrie, des choix technologiques et de fournisseurs, le montant total réel  pourra être nettement supérieur ou inférieur. Par exemple, le choix technologique d'un tableau interactif (déconseillé par l'assemblée plenière de la CIIP du 22 novembre 2018) sera beaucoup plus onéreux qu'un beamer sans interactivité, les coûts seront aussi différents si un contrat de maintenance est conclu avec une entreprise IT partenaire de la commune ou en fonction du type de gestion de l'infrastructure, etc. 
Les coûts à prévoir pour les prestations de tiers (hors contrat de maintenance réseau) et les ressources requis pour le répondant informatique ne figurent pas dans ce calculateur. Un groupe de travail incluant des représentant-e-s des communes doit être créé afin de déterminer et réévaluer régulièrement la charge financière nécessaire pour ces divers mandats. En effet, les besoins diffèrent selon le contexte propre aux établissements et varient en fonction des évolutions technologiques. </t>
    </r>
  </si>
  <si>
    <t>COMMENT PROCÉDER</t>
  </si>
  <si>
    <r>
      <rPr>
        <sz val="11"/>
        <color rgb="FF1FB7C6"/>
        <rFont val="Calibri (Corps)"/>
      </rPr>
      <t>•</t>
    </r>
    <r>
      <rPr>
        <sz val="11"/>
        <color theme="1"/>
        <rFont val="Calibri"/>
        <family val="2"/>
        <scheme val="minor"/>
      </rPr>
      <t xml:space="preserve"> Cliquer sur le bouton "Calculateur" en haut à droite
</t>
    </r>
    <r>
      <rPr>
        <sz val="11"/>
        <color rgb="FF1FB7C6"/>
        <rFont val="Calibri (Corps)"/>
      </rPr>
      <t>•</t>
    </r>
    <r>
      <rPr>
        <sz val="11"/>
        <color theme="1"/>
        <rFont val="Calibri"/>
        <family val="2"/>
        <scheme val="minor"/>
      </rPr>
      <t xml:space="preserve"> Cliquer sur le champ à modifier et taper la nouvelle valeur; valider avec la touche &lt;Entrée&gt; du clavier
</t>
    </r>
    <r>
      <rPr>
        <sz val="11"/>
        <color rgb="FF1FB7C6"/>
        <rFont val="Calibri (Corps)"/>
      </rPr>
      <t>•</t>
    </r>
    <r>
      <rPr>
        <sz val="11"/>
        <color theme="1"/>
        <rFont val="Calibri"/>
        <family val="2"/>
        <scheme val="minor"/>
      </rPr>
      <t xml:space="preserve"> Adapter à votre situation, le nombre de bâtiments et d'étages, de salles de classe standards, de salles d'activités créatrices manuelles (ACM). Pour les bâtiments la règle suivante est à considérer : 1 bâtiment = une construction isolé ou plusieurs constructions constituant une entité de bâtiments interconnectés situés au même endroit 
Les autres types de salles comme les salles de sport, aulas, bureaux de psychologie ou de Direction, salles des maîtres, biblitohèques scolaires etc. ne sont pas prises en compte dans ce calculateur. Elles doivent faire l'objet d'une évaluation séparée par la commune en fonction de la situation locale et de leur usage.
</t>
    </r>
    <r>
      <rPr>
        <sz val="11"/>
        <color rgb="FF1FB7C6"/>
        <rFont val="Calibri (Corps)"/>
      </rPr>
      <t>•</t>
    </r>
    <r>
      <rPr>
        <sz val="11"/>
        <color theme="1"/>
        <rFont val="Calibri"/>
        <family val="2"/>
        <scheme val="minor"/>
      </rPr>
      <t xml:space="preserve"> Modifier pour les salles et bâtiments le nombre d'équipement déjà existant et à conserver. Le nombre  de ce qui est "Manquant - à renouveler" se calcule automatiquement en fonction du nombre de salles, de bâtiments et d'étages.
</t>
    </r>
  </si>
  <si>
    <t>Désignation de l'équipement / l'infrastructure : informations complémentaires</t>
  </si>
  <si>
    <t>Réseau</t>
  </si>
  <si>
    <t>Système de rangement (chariot) et de charge : 1 équipement par salle : valises, chariots, armoires, etc, systèmes de recharge pour les PC, tablettes, …</t>
  </si>
  <si>
    <t>Point d'accès WiFi : 1 antenne WiFi par salle de classe</t>
  </si>
  <si>
    <t>Coût d'installation point d'accès WiFi : valeur non modifiable définie sur la base de 1 antenne WiFi à configurer et à installer par salle</t>
  </si>
  <si>
    <t>Controlleurs+licences pour gestion de antennes WiFi :  valeur non modifiable définie sur la base de 1 par bâtiments avec des antennes WiFi à gérer</t>
  </si>
  <si>
    <t>Câblage cat. 6A (tirage) : 1 câble par salle à installer et tirer dans les gaines existantes de chaque salle</t>
  </si>
  <si>
    <t xml:space="preserve">Switch d'étage : 1 switch par étage  </t>
  </si>
  <si>
    <t>Armoires réseau (switch) : 1 armoire/switch</t>
  </si>
  <si>
    <t>Connexion Internet école : 1 accès / bâtiment; calcul sur la base du produit Smart Business Connect (SBC) de Swisscom avec rabais internet à l'école de Swisscom</t>
  </si>
  <si>
    <t>Sécurité et Firewall :  valeur non modifiable définie sur la base de 1 firewall par accès Internet (calcul sur la base de l'option de sécurité spécifique pour les écoles du produit SBC de Swisscom)</t>
  </si>
  <si>
    <t>Contrat de maintenance réseau : valeur non modifiable définie sur la base de 1 unité de coûts par salle de classe</t>
  </si>
  <si>
    <t>Electricité (sans la consommation ni la maintenance)</t>
  </si>
  <si>
    <t>Prises électriques : 1 unité par salle (correspond à 2 prises 230 V)</t>
  </si>
  <si>
    <t xml:space="preserve">Fusibles (câblage) : 1 fusible pour 3 salles de classe (exigence min. 2500W) </t>
  </si>
  <si>
    <t>Tirage de câble : 1 unité par salle (câbles electriques à installer et tirer dans les canaux existants)</t>
  </si>
  <si>
    <r>
      <t xml:space="preserve">Multimédia </t>
    </r>
    <r>
      <rPr>
        <sz val="11"/>
        <color theme="1"/>
        <rFont val="Calibri"/>
        <family val="2"/>
        <scheme val="minor"/>
      </rPr>
      <t>(sans la maintenance)</t>
    </r>
  </si>
  <si>
    <t>Système de projection (incl. mise en service) : 1 équipement par salle avec connectivité sans fil (par exemple Miracast): beamer standard ou ultra courte focale; écran TV LED ou tableau blanc interactif; beamer interactif</t>
  </si>
  <si>
    <t>Système audio : 1 équipement par salle : barres son active (Bluetooth)</t>
  </si>
  <si>
    <t>Caméra de document : 1 équipement par salle</t>
  </si>
  <si>
    <t>Système de partage d'écran : 1 équipement par salle</t>
  </si>
  <si>
    <t>Câbles et petit matériel : 1 set par salle (adaptateur de câbles; câbles de réserve, casques audio avec micro, etc.)</t>
  </si>
  <si>
    <t>Caméra et micro pour enseignement à distance : 1 équipement par salle</t>
  </si>
  <si>
    <t>Système d'impression</t>
  </si>
  <si>
    <t>Imprimante/Photocopieuse/Scanneuse + OCR : valeur non modifiable définie sur la base de 1 appareil par bâtiment scolaire (location sans les coûts d'impression par feuille)</t>
  </si>
  <si>
    <t>Personnel pour le lien avec les entreprises prestataires + support niveau 0 (support de proximité)</t>
  </si>
  <si>
    <t>Correspondant informatique infrastructures (UNIQUEMENT): valeur non modifiable définie sur la base de 1 unité de coûts par bâtiment; ne comprend pas le support informatique sur les applications et les PC
Support technique de proximité : valeur non modifiable définie sur la base de 1 unité de coûts pour 5 salles de classe; support technique pour l'utilisateur (enseignant)</t>
  </si>
  <si>
    <t>CALCULATEUR</t>
  </si>
  <si>
    <t>Saisissez ici un texte libre (par exemple le nom de l'école et des options de calcul)</t>
  </si>
  <si>
    <t>Nombre de bâtiments</t>
  </si>
  <si>
    <t>Source des données de calcul : feuille masquée "Récapitulatif financier" du 11.8.2021</t>
  </si>
  <si>
    <t>Nombre  d'étages cumulés</t>
  </si>
  <si>
    <t>Nombre de salles de classe standards</t>
  </si>
  <si>
    <t>Nombre de salles ACM</t>
  </si>
  <si>
    <t>Total des salles à équiper</t>
  </si>
  <si>
    <t>DÉSIGNATION DU MATERIEL / DE L'INFRASTRUCTURE</t>
  </si>
  <si>
    <r>
      <rPr>
        <sz val="14"/>
        <color theme="0"/>
        <rFont val="Calibri (Corps)"/>
      </rPr>
      <t>TOTAL</t>
    </r>
    <r>
      <rPr>
        <sz val="11"/>
        <color theme="0"/>
        <rFont val="Calibri"/>
        <family val="2"/>
        <scheme val="minor"/>
      </rPr>
      <t xml:space="preserve">
des salles de classe et des bâtiments</t>
    </r>
  </si>
  <si>
    <t>Coûts uniques initiaux</t>
  </si>
  <si>
    <t>Coûts uniques</t>
  </si>
  <si>
    <t>Unités - Total</t>
  </si>
  <si>
    <t>Existants - à conserver</t>
  </si>
  <si>
    <t>Manquant - à renouveler</t>
  </si>
  <si>
    <t>Coûts annuel</t>
  </si>
  <si>
    <t>Prix par salle, bâtiment ou étages cumulés</t>
  </si>
  <si>
    <t>CONNEXION / RÉSEAU</t>
  </si>
  <si>
    <t>Système de rangement (chariot) et de charge</t>
  </si>
  <si>
    <t>U</t>
  </si>
  <si>
    <t>Point d'accès WiFi + coûts d'installation</t>
  </si>
  <si>
    <t>Controlleurs + licences pour gestion de antennes WiFi (annuel)</t>
  </si>
  <si>
    <t>A</t>
  </si>
  <si>
    <t>Câblage cat. 6A (tirage)</t>
  </si>
  <si>
    <t xml:space="preserve">Switch d'étage </t>
  </si>
  <si>
    <t xml:space="preserve">Armoires réseau (switch) </t>
  </si>
  <si>
    <t>Connexion Internet école (base des coûts SAI)</t>
  </si>
  <si>
    <t>Sécurité et Firewall (annuel)</t>
  </si>
  <si>
    <t>Contrat de maintenance réseau (annuel)</t>
  </si>
  <si>
    <t>ÉLECTRICITÉ (sans la consommation ni la maintenance)</t>
  </si>
  <si>
    <t xml:space="preserve">Prises électriques </t>
  </si>
  <si>
    <t xml:space="preserve">Fusibles (câblage) </t>
  </si>
  <si>
    <t>Tirage de câble</t>
  </si>
  <si>
    <t>PÉRIPHÉRIQUES / MULTIMÉDIA (sans la maintenance)</t>
  </si>
  <si>
    <t>Système de projection (incl. mise en service)</t>
  </si>
  <si>
    <t>Système audio</t>
  </si>
  <si>
    <t xml:space="preserve">Caméra de document </t>
  </si>
  <si>
    <t>Système de partage d'écran</t>
  </si>
  <si>
    <t xml:space="preserve">Câbles et petit matériel </t>
  </si>
  <si>
    <t>Caméra et micro pour enseignement à distance</t>
  </si>
  <si>
    <t>SYSTÈME D'IMPRESSION</t>
  </si>
  <si>
    <t>Imprimante/Photocopieur/Scanner + OCR (annuel)</t>
  </si>
  <si>
    <t>Equipements / Infrastructure - Coûts totaux uniques initiaux</t>
  </si>
  <si>
    <t>Equipements / Infrastructure - Coûts totaux de renouvellement (tous les 7 ans)</t>
  </si>
  <si>
    <t>Equipements / Infrastructure - Coûts totaux annuels (hors renouvellement)</t>
  </si>
  <si>
    <t>Equipements / Infrastructure - Coûts totaux tous les 7 ans (avec renouvellement)</t>
  </si>
  <si>
    <t>Equipements / Infrastructure - Coûts par salle (hors renouvellement)</t>
  </si>
  <si>
    <t>Equipements / Infrastructure - Coûts par salle tous les 7 ans (avec renouvellement)</t>
  </si>
  <si>
    <t>TOTAL</t>
  </si>
  <si>
    <t>à payer par année</t>
  </si>
  <si>
    <t>maintenance
+ initial</t>
  </si>
  <si>
    <t>maintenance</t>
  </si>
  <si>
    <t>maintenance + renouvell.</t>
  </si>
  <si>
    <t>INFRASTRUCTURE</t>
  </si>
  <si>
    <t>MOYENNE</t>
  </si>
  <si>
    <t>des coûts annuels par salle</t>
  </si>
  <si>
    <t>Par classe</t>
  </si>
  <si>
    <t>Par bâtiment</t>
  </si>
  <si>
    <t>Remarques</t>
  </si>
  <si>
    <t>Chiffres au 11.8.2021</t>
  </si>
  <si>
    <t>Unique</t>
  </si>
  <si>
    <t>Annuels</t>
  </si>
  <si>
    <t>à réévaluer; C3 : pas besoin parce que chargement personnel ?</t>
  </si>
  <si>
    <t>Antenne  WiFi</t>
  </si>
  <si>
    <t>1 antenne WiFi/salle de classe, prix moyen SITel</t>
  </si>
  <si>
    <t>Coût d'installation antenne WiFi</t>
  </si>
  <si>
    <t>1 Câble cat. 6A (tirage)</t>
  </si>
  <si>
    <t>Switch d'étage (24 ports) (renouvellement tous les 7 ans)</t>
  </si>
  <si>
    <t>1 port/antenne + 1 port/monitoring</t>
  </si>
  <si>
    <t>Armoires par switch (pose inclus)</t>
  </si>
  <si>
    <t>Connexion Internet école</t>
  </si>
  <si>
    <t xml:space="preserve">SBC swisscom mise en service (500.-/1000.-) </t>
  </si>
  <si>
    <t>Firewall (30 CHF/mois)</t>
  </si>
  <si>
    <t>SBC swisscom sécurité (30.-/mois) (calcul sur la base du module "managed security" de SAI)</t>
  </si>
  <si>
    <t>Contrat de maintenance réseau</t>
  </si>
  <si>
    <t>évaluation par étage cumulé</t>
  </si>
  <si>
    <t>Controlleurs WiFi+licences pour gestion de antennes</t>
  </si>
  <si>
    <t>(cantonalisation : 100k pour un système centralisé)</t>
  </si>
  <si>
    <r>
      <t xml:space="preserve">Electricité </t>
    </r>
    <r>
      <rPr>
        <sz val="11"/>
        <color theme="1"/>
        <rFont val="Calibri"/>
        <family val="2"/>
        <scheme val="minor"/>
      </rPr>
      <t>(sans la consommation ni maintenance)</t>
    </r>
  </si>
  <si>
    <t>Investissement unique prises électriques</t>
  </si>
  <si>
    <t>2 prises</t>
  </si>
  <si>
    <t>Fusibles (cablage)</t>
  </si>
  <si>
    <t>2500W/fusible</t>
  </si>
  <si>
    <t>Tirage de câble (prix/m dans tuyaux existants)</t>
  </si>
  <si>
    <t>Système de projection (incl. Mise en service)</t>
  </si>
  <si>
    <t>Coût moyen entre écrans et beamer (AOP S2 : 2860.- + 380.- montage compris)</t>
  </si>
  <si>
    <t>Système audio (barre son active) --&gt; Bluetooth</t>
  </si>
  <si>
    <t>Sound Bar Neets SB1, Barre de son Crestron SAROS SB-200-P active 2x, 20W - 400.- selon contrat-cadre S2</t>
  </si>
  <si>
    <t>Caméra de document</t>
  </si>
  <si>
    <t>Prix ELMO L-12W</t>
  </si>
  <si>
    <t>AirPlay + Miracast</t>
  </si>
  <si>
    <t>Câbles et petit matériel</t>
  </si>
  <si>
    <t>Prix du Owl</t>
  </si>
  <si>
    <t>Offre A</t>
  </si>
  <si>
    <t>Offre B</t>
  </si>
  <si>
    <t>Moyenne</t>
  </si>
  <si>
    <t>Imprimante/Photocopieuse/Scanneuse + OCR</t>
  </si>
  <si>
    <t>Une imprimante par étage, … (selon estimation Appel d'offres des CO de Marly)</t>
  </si>
  <si>
    <t>Personnel, lien avec les entreprises prestataires + support niveau 0 (support de proximité)</t>
  </si>
  <si>
    <t>Correspondant informatique infrastructures (UNIQUEMENT)</t>
  </si>
  <si>
    <t>2.38 EPT = 1 h/mois par bâtiment, 80.-*12 (exclu la mise en place)</t>
  </si>
  <si>
    <t>Coûts totaux : (formules)</t>
  </si>
  <si>
    <t>Coût par salle de classe</t>
  </si>
  <si>
    <t xml:space="preserve">Coût par bâtiment </t>
  </si>
  <si>
    <t>Total * nombre de bâtiments et classe</t>
  </si>
  <si>
    <t>(128 communes en 2021, mais dépend de la taille de la commune)</t>
  </si>
  <si>
    <r>
      <t xml:space="preserve">Maintenance </t>
    </r>
    <r>
      <rPr>
        <b/>
        <sz val="11"/>
        <color theme="1"/>
        <rFont val="Calibri"/>
        <family val="2"/>
        <scheme val="minor"/>
      </rPr>
      <t>sur 5 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</si>
</sst>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CHF&quot;_-;\-* #,##0.00\ &quot;CHF&quot;_-;_-* &quot;-&quot;??\ &quot;CHF&quot;_-;_-@_-"/>
    <numFmt numFmtId="43" formatCode="_-* #,##0.00_-;\-* #,##0.00_-;_-* &quot;-&quot;??_-;_-@_-"/>
    <numFmt numFmtId="164" formatCode="_-* #,##0_-;\-* #,##0_-;_-* &quot;-&quot;??_-;_-@_-"/>
    <numFmt numFmtId="165" formatCode="#,##0.00\ &quot;CHF&quot;"/>
    <numFmt numFmtId="166" formatCode="_-* #,##0.00\ [$CHF-100C]_-;\-* #,##0.00\ [$CHF-100C]_-;_-* &quot;-&quot;??\ [$CHF-100C]_-;_-@_-"/>
    <numFmt numFmtId="167" formatCode="##0&quot; bâtiment(s)&quot;"/>
    <numFmt numFmtId="168" formatCode="_-* #,##0\ [$CHF-100C]_-;\-* #,##0\ [$CHF-100C]_-;_-* &quot;-&quot;??\ [$CHF-100C]_-;_-@_-"/>
  </numFmts>
  <fonts count="22">
    <font>
      <sz val="11"/>
      <color theme="1"/>
      <name val="Calibri"/>
      <family val="2"/>
      <scheme val="minor"/>
    </font>
    <font>
      <sz val="11"/>
      <color theme="1"/>
      <name val="Calibri"/>
      <family val="2"/>
      <scheme val="minor"/>
    </font>
    <font>
      <b/>
      <sz val="15"/>
      <color theme="3"/>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color theme="0"/>
      <name val="Calibri"/>
      <family val="2"/>
      <scheme val="minor"/>
    </font>
    <font>
      <sz val="15"/>
      <color theme="0"/>
      <name val="Calibri (Corps)"/>
    </font>
    <font>
      <sz val="14"/>
      <color theme="0"/>
      <name val="Calibri (Corps)"/>
    </font>
    <font>
      <sz val="9"/>
      <color rgb="FF000000"/>
      <name val="Tahoma"/>
      <family val="2"/>
    </font>
    <font>
      <sz val="14"/>
      <color theme="0"/>
      <name val="Calibri"/>
      <family val="2"/>
      <scheme val="minor"/>
    </font>
    <font>
      <sz val="11"/>
      <color theme="0"/>
      <name val="Calibri (Corps)"/>
    </font>
    <font>
      <b/>
      <sz val="11"/>
      <color theme="0"/>
      <name val="Calibri"/>
      <family val="2"/>
      <scheme val="minor"/>
    </font>
    <font>
      <sz val="11"/>
      <color rgb="FF1FB7C6"/>
      <name val="Calibri (Corps)"/>
    </font>
    <font>
      <b/>
      <sz val="11"/>
      <color theme="3"/>
      <name val="Calibri"/>
      <family val="2"/>
      <scheme val="minor"/>
    </font>
    <font>
      <sz val="11"/>
      <name val="Calibri"/>
      <family val="2"/>
      <scheme val="minor"/>
    </font>
    <font>
      <sz val="11"/>
      <name val="Calibri (Corps)"/>
    </font>
    <font>
      <sz val="10"/>
      <color rgb="FF000000"/>
      <name val="Tahoma"/>
      <family val="2"/>
    </font>
    <font>
      <sz val="11"/>
      <color theme="0"/>
      <name val="Calibri"/>
      <family val="2"/>
    </font>
    <font>
      <sz val="11"/>
      <color rgb="FFFFFFFF"/>
      <name val="Calibri"/>
      <family val="2"/>
    </font>
    <font>
      <sz val="9"/>
      <color indexed="81"/>
      <name val="Tahoma"/>
      <family val="2"/>
    </font>
  </fonts>
  <fills count="13">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2"/>
        <bgColor indexed="64"/>
      </patternFill>
    </fill>
    <fill>
      <patternFill patternType="solid">
        <fgColor theme="8"/>
      </patternFill>
    </fill>
    <fill>
      <patternFill patternType="solid">
        <fgColor theme="8" tint="0.39997558519241921"/>
        <bgColor indexed="65"/>
      </patternFill>
    </fill>
    <fill>
      <patternFill patternType="solid">
        <fgColor rgb="FF363A42"/>
        <bgColor indexed="64"/>
      </patternFill>
    </fill>
    <fill>
      <patternFill patternType="solid">
        <fgColor rgb="FF1FB7C6"/>
        <bgColor indexed="64"/>
      </patternFill>
    </fill>
    <fill>
      <patternFill patternType="solid">
        <fgColor rgb="FFE7E6E6"/>
        <bgColor indexed="64"/>
      </patternFill>
    </fill>
    <fill>
      <patternFill patternType="solid">
        <fgColor rgb="FFE7FAFC"/>
        <bgColor indexed="64"/>
      </patternFill>
    </fill>
    <fill>
      <patternFill patternType="solid">
        <fgColor rgb="FFE1E3E6"/>
        <bgColor indexed="64"/>
      </patternFill>
    </fill>
  </fills>
  <borders count="60">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bottom style="thin">
        <color rgb="FF363A42"/>
      </bottom>
      <diagonal/>
    </border>
    <border>
      <left style="thin">
        <color rgb="FF363A42"/>
      </left>
      <right style="thin">
        <color rgb="FF363A42"/>
      </right>
      <top style="thin">
        <color rgb="FF363A42"/>
      </top>
      <bottom style="thin">
        <color rgb="FF363A42"/>
      </bottom>
      <diagonal/>
    </border>
    <border>
      <left style="thin">
        <color rgb="FF363A42"/>
      </left>
      <right style="thin">
        <color rgb="FF363A42"/>
      </right>
      <top style="thin">
        <color rgb="FF363A42"/>
      </top>
      <bottom/>
      <diagonal/>
    </border>
    <border>
      <left style="thin">
        <color rgb="FF363A42"/>
      </left>
      <right style="thin">
        <color rgb="FF363A42"/>
      </right>
      <top/>
      <bottom style="thin">
        <color rgb="FF363A42"/>
      </bottom>
      <diagonal/>
    </border>
    <border>
      <left/>
      <right style="thin">
        <color rgb="FFFFFF00"/>
      </right>
      <top/>
      <bottom/>
      <diagonal/>
    </border>
    <border>
      <left style="thin">
        <color rgb="FF363A42"/>
      </left>
      <right style="thin">
        <color rgb="FF363A42"/>
      </right>
      <top/>
      <bottom/>
      <diagonal/>
    </border>
    <border>
      <left/>
      <right style="thin">
        <color rgb="FF363A42"/>
      </right>
      <top/>
      <bottom/>
      <diagonal/>
    </border>
    <border>
      <left style="thin">
        <color rgb="FF363A42"/>
      </left>
      <right/>
      <top/>
      <bottom style="thin">
        <color rgb="FF363A42"/>
      </bottom>
      <diagonal/>
    </border>
    <border>
      <left/>
      <right style="thin">
        <color rgb="FF363A42"/>
      </right>
      <top/>
      <bottom style="thin">
        <color rgb="FF363A42"/>
      </bottom>
      <diagonal/>
    </border>
    <border>
      <left/>
      <right style="thin">
        <color rgb="FF363A42"/>
      </right>
      <top style="thin">
        <color rgb="FF363A42"/>
      </top>
      <bottom style="thin">
        <color rgb="FF363A42"/>
      </bottom>
      <diagonal/>
    </border>
    <border>
      <left style="thin">
        <color rgb="FF363A42"/>
      </left>
      <right style="thin">
        <color rgb="FF363A42"/>
      </right>
      <top style="thin">
        <color indexed="64"/>
      </top>
      <bottom/>
      <diagonal/>
    </border>
    <border>
      <left style="thin">
        <color rgb="FF363A42"/>
      </left>
      <right/>
      <top style="thin">
        <color rgb="FF363A42"/>
      </top>
      <bottom style="thin">
        <color indexed="64"/>
      </bottom>
      <diagonal/>
    </border>
    <border>
      <left/>
      <right/>
      <top style="thin">
        <color rgb="FF363A42"/>
      </top>
      <bottom style="thin">
        <color indexed="64"/>
      </bottom>
      <diagonal/>
    </border>
    <border>
      <left/>
      <right style="thin">
        <color rgb="FF363A42"/>
      </right>
      <top style="thin">
        <color rgb="FF363A42"/>
      </top>
      <bottom style="thin">
        <color indexed="64"/>
      </bottom>
      <diagonal/>
    </border>
    <border>
      <left style="thin">
        <color rgb="FF363A42"/>
      </left>
      <right/>
      <top style="thin">
        <color rgb="FF363A42"/>
      </top>
      <bottom/>
      <diagonal/>
    </border>
    <border>
      <left/>
      <right/>
      <top style="thin">
        <color rgb="FF363A42"/>
      </top>
      <bottom/>
      <diagonal/>
    </border>
    <border>
      <left/>
      <right style="thin">
        <color rgb="FF363A42"/>
      </right>
      <top style="thin">
        <color rgb="FF363A42"/>
      </top>
      <bottom/>
      <diagonal/>
    </border>
    <border>
      <left/>
      <right/>
      <top/>
      <bottom style="medium">
        <color theme="4" tint="0.39997558519241921"/>
      </bottom>
      <diagonal/>
    </border>
    <border>
      <left style="medium">
        <color indexed="64"/>
      </left>
      <right style="medium">
        <color indexed="64"/>
      </right>
      <top/>
      <bottom style="thick">
        <color theme="4"/>
      </bottom>
      <diagonal/>
    </border>
    <border>
      <left style="medium">
        <color indexed="64"/>
      </left>
      <right style="medium">
        <color indexed="64"/>
      </right>
      <top/>
      <bottom style="medium">
        <color theme="4" tint="0.3999755851924192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363A42"/>
      </left>
      <right/>
      <top/>
      <bottom/>
      <diagonal/>
    </border>
    <border>
      <left style="thin">
        <color rgb="FF363A42"/>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363A42"/>
      </left>
      <right/>
      <top/>
      <bottom style="thin">
        <color theme="0" tint="-0.24994659260841701"/>
      </bottom>
      <diagonal/>
    </border>
    <border>
      <left style="thin">
        <color rgb="FF363A42"/>
      </left>
      <right/>
      <top style="thin">
        <color theme="0" tint="-0.24994659260841701"/>
      </top>
      <bottom style="thin">
        <color theme="0" tint="-0.24994659260841701"/>
      </bottom>
      <diagonal/>
    </border>
    <border>
      <left style="thin">
        <color indexed="64"/>
      </left>
      <right style="thin">
        <color theme="0" tint="-0.24994659260841701"/>
      </right>
      <top style="thin">
        <color indexed="64"/>
      </top>
      <bottom/>
      <diagonal/>
    </border>
    <border>
      <left style="thin">
        <color theme="0" tint="-0.24994659260841701"/>
      </left>
      <right style="thin">
        <color rgb="FF363A42"/>
      </right>
      <top style="thin">
        <color indexed="64"/>
      </top>
      <bottom/>
      <diagonal/>
    </border>
    <border>
      <left style="thin">
        <color indexed="64"/>
      </left>
      <right style="thin">
        <color theme="0" tint="-0.24994659260841701"/>
      </right>
      <top/>
      <bottom/>
      <diagonal/>
    </border>
    <border>
      <left style="thin">
        <color theme="0" tint="-0.24994659260841701"/>
      </left>
      <right style="thin">
        <color rgb="FF363A42"/>
      </right>
      <top/>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rgb="FF363A42"/>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rgb="FF363A42"/>
      </right>
      <top style="thin">
        <color theme="0" tint="-0.24994659260841701"/>
      </top>
      <bottom style="thin">
        <color theme="0" tint="-0.24994659260841701"/>
      </bottom>
      <diagonal/>
    </border>
    <border>
      <left style="thin">
        <color theme="0" tint="-0.24994659260841701"/>
      </left>
      <right style="thin">
        <color rgb="FF363A42"/>
      </right>
      <top/>
      <bottom style="thin">
        <color rgb="FF363A42"/>
      </bottom>
      <diagonal/>
    </border>
    <border>
      <left style="thin">
        <color rgb="FF363A42"/>
      </left>
      <right/>
      <top style="thin">
        <color theme="0"/>
      </top>
      <bottom style="thin">
        <color theme="0" tint="-0.24994659260841701"/>
      </bottom>
      <diagonal/>
    </border>
    <border>
      <left style="thin">
        <color indexed="64"/>
      </left>
      <right style="thin">
        <color theme="0" tint="-0.24994659260841701"/>
      </right>
      <top style="thin">
        <color theme="0"/>
      </top>
      <bottom style="thin">
        <color theme="0" tint="-0.24994659260841701"/>
      </bottom>
      <diagonal/>
    </border>
    <border>
      <left style="thin">
        <color theme="0" tint="-0.24994659260841701"/>
      </left>
      <right style="thin">
        <color rgb="FF363A42"/>
      </right>
      <top style="thin">
        <color theme="0"/>
      </top>
      <bottom style="thin">
        <color theme="0" tint="-0.24994659260841701"/>
      </bottom>
      <diagonal/>
    </border>
    <border>
      <left style="thin">
        <color rgb="FF363A42"/>
      </left>
      <right style="thin">
        <color rgb="FF363A42"/>
      </right>
      <top style="thin">
        <color theme="0"/>
      </top>
      <bottom style="thin">
        <color theme="0"/>
      </bottom>
      <diagonal/>
    </border>
    <border>
      <left style="thin">
        <color rgb="FF363A42"/>
      </left>
      <right/>
      <top style="thin">
        <color theme="0" tint="-0.24994659260841701"/>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rgb="FF363A42"/>
      </right>
      <top style="thin">
        <color theme="0" tint="-0.24994659260841701"/>
      </top>
      <bottom/>
      <diagonal/>
    </border>
    <border>
      <left style="thin">
        <color rgb="FF363A42"/>
      </left>
      <right/>
      <top style="thin">
        <color theme="0"/>
      </top>
      <bottom style="thin">
        <color theme="0"/>
      </bottom>
      <diagonal/>
    </border>
    <border>
      <left style="thin">
        <color indexed="64"/>
      </left>
      <right style="thin">
        <color theme="0" tint="-0.24994659260841701"/>
      </right>
      <top style="thin">
        <color theme="0"/>
      </top>
      <bottom style="thin">
        <color theme="0"/>
      </bottom>
      <diagonal/>
    </border>
    <border>
      <left style="thin">
        <color theme="0" tint="-0.24994659260841701"/>
      </left>
      <right style="thin">
        <color rgb="FF363A42"/>
      </right>
      <top style="thin">
        <color theme="0"/>
      </top>
      <bottom style="thin">
        <color theme="0"/>
      </bottom>
      <diagonal/>
    </border>
    <border>
      <left style="thin">
        <color rgb="FF363A42"/>
      </left>
      <right/>
      <top style="thin">
        <color theme="0"/>
      </top>
      <bottom/>
      <diagonal/>
    </border>
    <border>
      <left style="thin">
        <color indexed="64"/>
      </left>
      <right style="thin">
        <color theme="0" tint="-0.24994659260841701"/>
      </right>
      <top style="thin">
        <color theme="0"/>
      </top>
      <bottom/>
      <diagonal/>
    </border>
    <border>
      <left style="thin">
        <color theme="0" tint="-0.24994659260841701"/>
      </left>
      <right style="thin">
        <color rgb="FF363A42"/>
      </right>
      <top style="thin">
        <color theme="0"/>
      </top>
      <bottom/>
      <diagonal/>
    </border>
    <border>
      <left style="thin">
        <color rgb="FF363A42"/>
      </left>
      <right/>
      <top style="thin">
        <color theme="0" tint="-0.24994659260841701"/>
      </top>
      <bottom style="thin">
        <color theme="0"/>
      </bottom>
      <diagonal/>
    </border>
    <border>
      <left style="thin">
        <color indexed="64"/>
      </left>
      <right style="thin">
        <color theme="0" tint="-0.24994659260841701"/>
      </right>
      <top style="thin">
        <color theme="0" tint="-0.24994659260841701"/>
      </top>
      <bottom style="thin">
        <color theme="0"/>
      </bottom>
      <diagonal/>
    </border>
    <border>
      <left style="thin">
        <color theme="0" tint="-0.24994659260841701"/>
      </left>
      <right style="thin">
        <color rgb="FF363A42"/>
      </right>
      <top style="thin">
        <color theme="0" tint="-0.24994659260841701"/>
      </top>
      <bottom style="thin">
        <color theme="0"/>
      </bottom>
      <diagonal/>
    </border>
    <border>
      <left style="thin">
        <color indexed="64"/>
      </left>
      <right style="thin">
        <color theme="0" tint="-0.24994659260841701"/>
      </right>
      <top/>
      <bottom style="thin">
        <color rgb="FF363A42"/>
      </bottom>
      <diagonal/>
    </border>
    <border>
      <left style="thin">
        <color rgb="FF363A42"/>
      </left>
      <right style="thin">
        <color indexed="64"/>
      </right>
      <top/>
      <bottom style="thin">
        <color rgb="FF363A42"/>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1" applyNumberFormat="0" applyFill="0" applyAlignment="0" applyProtection="0"/>
    <xf numFmtId="0" fontId="6" fillId="0" borderId="0" applyNumberFormat="0" applyFill="0" applyBorder="0" applyAlignment="0" applyProtection="0"/>
    <xf numFmtId="0" fontId="7" fillId="6" borderId="0" applyNumberFormat="0" applyBorder="0" applyAlignment="0" applyProtection="0"/>
    <xf numFmtId="0" fontId="1" fillId="7" borderId="0" applyNumberFormat="0" applyBorder="0" applyAlignment="0" applyProtection="0"/>
    <xf numFmtId="0" fontId="15" fillId="0" borderId="20" applyNumberFormat="0" applyFill="0" applyAlignment="0" applyProtection="0"/>
  </cellStyleXfs>
  <cellXfs count="181">
    <xf numFmtId="0" fontId="0" fillId="0" borderId="0" xfId="0"/>
    <xf numFmtId="0" fontId="0" fillId="2" borderId="0" xfId="0" applyFill="1" applyAlignment="1">
      <alignment horizontal="center"/>
    </xf>
    <xf numFmtId="0" fontId="0" fillId="3" borderId="0" xfId="0" applyFill="1" applyAlignment="1">
      <alignment horizontal="center"/>
    </xf>
    <xf numFmtId="0" fontId="0" fillId="0" borderId="0" xfId="0" applyAlignment="1">
      <alignment horizontal="left"/>
    </xf>
    <xf numFmtId="0" fontId="0" fillId="2" borderId="0" xfId="0" applyFill="1"/>
    <xf numFmtId="0" fontId="0" fillId="3" borderId="0" xfId="0" applyFill="1"/>
    <xf numFmtId="0" fontId="4" fillId="4" borderId="0" xfId="0" applyFont="1" applyFill="1"/>
    <xf numFmtId="0" fontId="0" fillId="4" borderId="0" xfId="0" applyFill="1"/>
    <xf numFmtId="0" fontId="0" fillId="4" borderId="0" xfId="0" applyFill="1" applyAlignment="1">
      <alignment horizontal="left"/>
    </xf>
    <xf numFmtId="0" fontId="0" fillId="0" borderId="0" xfId="0" applyAlignment="1">
      <alignment wrapText="1"/>
    </xf>
    <xf numFmtId="164" fontId="0" fillId="0" borderId="0" xfId="1" applyNumberFormat="1" applyFont="1" applyAlignment="1">
      <alignment horizontal="right"/>
    </xf>
    <xf numFmtId="164" fontId="0" fillId="0" borderId="0" xfId="1" applyNumberFormat="1" applyFont="1" applyFill="1"/>
    <xf numFmtId="164" fontId="0" fillId="0" borderId="0" xfId="1" applyNumberFormat="1" applyFont="1" applyAlignment="1">
      <alignment horizontal="right" wrapText="1"/>
    </xf>
    <xf numFmtId="164" fontId="0" fillId="4" borderId="0" xfId="1" applyNumberFormat="1" applyFont="1" applyFill="1" applyAlignment="1">
      <alignment horizontal="right"/>
    </xf>
    <xf numFmtId="164" fontId="0" fillId="0" borderId="0" xfId="1" quotePrefix="1" applyNumberFormat="1" applyFont="1" applyAlignment="1">
      <alignment horizontal="right"/>
    </xf>
    <xf numFmtId="44" fontId="0" fillId="0" borderId="0" xfId="0" applyNumberFormat="1" applyAlignment="1">
      <alignment horizontal="left"/>
    </xf>
    <xf numFmtId="164" fontId="0" fillId="0" borderId="0" xfId="1" applyNumberFormat="1" applyFont="1"/>
    <xf numFmtId="164" fontId="0" fillId="4" borderId="0" xfId="1" applyNumberFormat="1" applyFont="1" applyFill="1" applyAlignment="1">
      <alignment horizontal="right" wrapText="1"/>
    </xf>
    <xf numFmtId="164" fontId="0" fillId="0" borderId="0" xfId="1" applyNumberFormat="1" applyFont="1" applyFill="1" applyAlignment="1">
      <alignment horizontal="right"/>
    </xf>
    <xf numFmtId="0" fontId="4" fillId="0" borderId="0" xfId="0" applyFont="1"/>
    <xf numFmtId="164" fontId="4" fillId="0" borderId="0" xfId="1" applyNumberFormat="1" applyFont="1" applyAlignment="1">
      <alignment horizontal="right"/>
    </xf>
    <xf numFmtId="0" fontId="0" fillId="0" borderId="0" xfId="0" applyAlignment="1">
      <alignment horizontal="right"/>
    </xf>
    <xf numFmtId="0" fontId="0" fillId="0" borderId="0" xfId="0" applyAlignment="1">
      <alignment vertical="top"/>
    </xf>
    <xf numFmtId="0" fontId="5" fillId="0" borderId="0" xfId="0" applyFont="1" applyAlignment="1">
      <alignment vertical="top"/>
    </xf>
    <xf numFmtId="0" fontId="0" fillId="0" borderId="0" xfId="0" applyAlignment="1">
      <alignment vertical="top" wrapText="1"/>
    </xf>
    <xf numFmtId="0" fontId="0" fillId="5" borderId="0" xfId="0" applyFill="1"/>
    <xf numFmtId="0" fontId="0" fillId="0" borderId="0" xfId="0" applyAlignment="1">
      <alignment horizontal="center"/>
    </xf>
    <xf numFmtId="0" fontId="4" fillId="2" borderId="0" xfId="0" applyFont="1" applyFill="1"/>
    <xf numFmtId="0" fontId="4" fillId="3" borderId="0" xfId="0" applyFont="1" applyFill="1"/>
    <xf numFmtId="0" fontId="0" fillId="5" borderId="0" xfId="0" applyFill="1" applyAlignment="1">
      <alignment horizontal="center"/>
    </xf>
    <xf numFmtId="0" fontId="0" fillId="5" borderId="0" xfId="0" applyFill="1" applyAlignment="1">
      <alignment wrapText="1"/>
    </xf>
    <xf numFmtId="168" fontId="4" fillId="5" borderId="2" xfId="0" applyNumberFormat="1" applyFont="1" applyFill="1" applyBorder="1" applyAlignment="1">
      <alignment horizontal="right"/>
    </xf>
    <xf numFmtId="168" fontId="0" fillId="5" borderId="0" xfId="0" applyNumberFormat="1" applyFill="1" applyAlignment="1">
      <alignment horizontal="center"/>
    </xf>
    <xf numFmtId="0" fontId="6" fillId="0" borderId="0" xfId="4"/>
    <xf numFmtId="0" fontId="0" fillId="8" borderId="0" xfId="0" applyFill="1" applyAlignment="1">
      <alignment vertical="center"/>
    </xf>
    <xf numFmtId="0" fontId="6" fillId="8" borderId="0" xfId="4" applyFill="1" applyAlignment="1">
      <alignment horizontal="center" vertical="center"/>
    </xf>
    <xf numFmtId="0" fontId="0" fillId="8" borderId="0" xfId="0" applyFill="1" applyAlignment="1">
      <alignment horizontal="center" vertical="center"/>
    </xf>
    <xf numFmtId="0" fontId="0" fillId="0" borderId="0" xfId="0" applyAlignment="1">
      <alignment vertical="center"/>
    </xf>
    <xf numFmtId="0" fontId="8" fillId="8" borderId="0" xfId="3" applyFont="1" applyFill="1" applyBorder="1" applyAlignment="1">
      <alignment vertical="center"/>
    </xf>
    <xf numFmtId="0" fontId="0" fillId="9" borderId="0" xfId="0" applyFill="1"/>
    <xf numFmtId="0" fontId="0" fillId="9" borderId="0" xfId="0" applyFill="1" applyAlignment="1">
      <alignment horizontal="center"/>
    </xf>
    <xf numFmtId="0" fontId="0" fillId="10" borderId="0" xfId="0" applyFill="1" applyAlignment="1">
      <alignment vertical="center"/>
    </xf>
    <xf numFmtId="0" fontId="0" fillId="0" borderId="5" xfId="0" applyBorder="1"/>
    <xf numFmtId="0" fontId="0" fillId="0" borderId="6" xfId="0" applyBorder="1"/>
    <xf numFmtId="0" fontId="0" fillId="0" borderId="7" xfId="0" applyBorder="1"/>
    <xf numFmtId="0" fontId="0" fillId="11" borderId="8" xfId="0" applyFill="1" applyBorder="1" applyAlignment="1">
      <alignment horizontal="left" vertical="top" indent="2"/>
    </xf>
    <xf numFmtId="0" fontId="0" fillId="11" borderId="8" xfId="0" applyFill="1" applyBorder="1" applyAlignment="1">
      <alignment horizontal="left" wrapText="1" indent="2"/>
    </xf>
    <xf numFmtId="0" fontId="0" fillId="11" borderId="8" xfId="0" applyFill="1" applyBorder="1" applyAlignment="1">
      <alignment horizontal="left" indent="2"/>
    </xf>
    <xf numFmtId="0" fontId="0" fillId="11" borderId="8" xfId="0" applyFill="1" applyBorder="1" applyAlignment="1">
      <alignment horizontal="left" vertical="top" wrapText="1" indent="2"/>
    </xf>
    <xf numFmtId="0" fontId="0" fillId="11" borderId="6" xfId="0" applyFill="1" applyBorder="1" applyAlignment="1">
      <alignment horizontal="left" indent="2"/>
    </xf>
    <xf numFmtId="0" fontId="0" fillId="12" borderId="0" xfId="0" applyFill="1"/>
    <xf numFmtId="0" fontId="0" fillId="12" borderId="0" xfId="0" applyFill="1" applyAlignment="1">
      <alignment horizontal="right"/>
    </xf>
    <xf numFmtId="0" fontId="4" fillId="12" borderId="0" xfId="0" applyFont="1" applyFill="1" applyAlignment="1">
      <alignment horizontal="right"/>
    </xf>
    <xf numFmtId="0" fontId="0" fillId="12" borderId="0" xfId="0" applyFill="1" applyAlignment="1">
      <alignment horizontal="center"/>
    </xf>
    <xf numFmtId="167" fontId="0" fillId="12" borderId="0" xfId="0" applyNumberFormat="1" applyFill="1" applyAlignment="1">
      <alignment horizontal="center"/>
    </xf>
    <xf numFmtId="0" fontId="0" fillId="12" borderId="9" xfId="0" applyFill="1" applyBorder="1"/>
    <xf numFmtId="0" fontId="11" fillId="11" borderId="8" xfId="5" applyFont="1" applyFill="1" applyBorder="1" applyAlignment="1">
      <alignment horizontal="center" vertical="center"/>
    </xf>
    <xf numFmtId="0" fontId="7" fillId="9" borderId="5" xfId="5" applyFill="1" applyBorder="1" applyAlignment="1">
      <alignment horizontal="center"/>
    </xf>
    <xf numFmtId="168" fontId="4" fillId="12" borderId="3" xfId="0" applyNumberFormat="1" applyFont="1" applyFill="1" applyBorder="1"/>
    <xf numFmtId="168" fontId="4" fillId="12" borderId="11" xfId="0" applyNumberFormat="1" applyFont="1" applyFill="1" applyBorder="1"/>
    <xf numFmtId="168" fontId="4" fillId="12" borderId="4" xfId="0" applyNumberFormat="1" applyFont="1" applyFill="1" applyBorder="1"/>
    <xf numFmtId="0" fontId="4" fillId="11" borderId="6" xfId="5" applyFont="1" applyFill="1" applyBorder="1" applyAlignment="1">
      <alignment horizontal="center"/>
    </xf>
    <xf numFmtId="0" fontId="13" fillId="9" borderId="5" xfId="5" applyFont="1" applyFill="1" applyBorder="1" applyAlignment="1">
      <alignment horizontal="center"/>
    </xf>
    <xf numFmtId="0" fontId="13" fillId="9" borderId="19" xfId="5" applyFont="1" applyFill="1" applyBorder="1" applyAlignment="1">
      <alignment horizontal="center"/>
    </xf>
    <xf numFmtId="168" fontId="4" fillId="12" borderId="4" xfId="0" applyNumberFormat="1" applyFont="1" applyFill="1" applyBorder="1" applyAlignment="1">
      <alignment horizontal="right"/>
    </xf>
    <xf numFmtId="168" fontId="4" fillId="12" borderId="12" xfId="0" applyNumberFormat="1" applyFont="1" applyFill="1" applyBorder="1" applyAlignment="1">
      <alignment horizontal="right"/>
    </xf>
    <xf numFmtId="168" fontId="4" fillId="12" borderId="6" xfId="0" applyNumberFormat="1" applyFont="1" applyFill="1" applyBorder="1"/>
    <xf numFmtId="0" fontId="8" fillId="12" borderId="0" xfId="3" applyFont="1" applyFill="1" applyBorder="1" applyAlignment="1">
      <alignment vertical="center"/>
    </xf>
    <xf numFmtId="0" fontId="0" fillId="12" borderId="0" xfId="0" applyFill="1" applyAlignment="1">
      <alignment vertical="center"/>
    </xf>
    <xf numFmtId="0" fontId="6" fillId="12" borderId="0" xfId="4" applyFill="1" applyBorder="1" applyAlignment="1">
      <alignment horizontal="center" vertical="center"/>
    </xf>
    <xf numFmtId="0" fontId="0" fillId="12" borderId="0" xfId="0" applyFill="1" applyAlignment="1">
      <alignment horizontal="center" vertical="center"/>
    </xf>
    <xf numFmtId="0" fontId="0" fillId="12" borderId="0" xfId="0" applyFill="1" applyAlignment="1">
      <alignment vertical="top"/>
    </xf>
    <xf numFmtId="0" fontId="5" fillId="12" borderId="0" xfId="0" applyFont="1" applyFill="1" applyAlignment="1">
      <alignment vertical="top"/>
    </xf>
    <xf numFmtId="0" fontId="0" fillId="12" borderId="0" xfId="0" applyFill="1" applyAlignment="1">
      <alignment vertical="top" wrapText="1"/>
    </xf>
    <xf numFmtId="0" fontId="3" fillId="0" borderId="0" xfId="0" applyFont="1" applyAlignment="1">
      <alignment vertical="top"/>
    </xf>
    <xf numFmtId="0" fontId="11" fillId="12" borderId="0" xfId="5" applyFont="1" applyFill="1" applyBorder="1" applyAlignment="1">
      <alignment horizontal="center" vertical="center"/>
    </xf>
    <xf numFmtId="0" fontId="0" fillId="5" borderId="0" xfId="0" applyFill="1" applyAlignment="1">
      <alignment vertical="top"/>
    </xf>
    <xf numFmtId="0" fontId="2" fillId="5" borderId="21" xfId="3" applyFill="1" applyBorder="1" applyAlignment="1">
      <alignment wrapText="1"/>
    </xf>
    <xf numFmtId="0" fontId="15" fillId="5" borderId="22" xfId="7" applyFill="1" applyBorder="1" applyAlignment="1">
      <alignment wrapText="1"/>
    </xf>
    <xf numFmtId="0" fontId="0" fillId="5" borderId="23" xfId="0" applyFill="1" applyBorder="1" applyAlignment="1">
      <alignment vertical="top" wrapText="1"/>
    </xf>
    <xf numFmtId="0" fontId="0" fillId="5" borderId="23" xfId="0" applyFill="1" applyBorder="1" applyAlignment="1">
      <alignment wrapText="1"/>
    </xf>
    <xf numFmtId="0" fontId="0" fillId="5" borderId="24" xfId="0" applyFill="1" applyBorder="1" applyAlignment="1">
      <alignment wrapText="1"/>
    </xf>
    <xf numFmtId="0" fontId="0" fillId="12" borderId="18" xfId="0" applyFill="1" applyBorder="1"/>
    <xf numFmtId="0" fontId="13" fillId="9" borderId="8" xfId="5" applyFont="1" applyFill="1" applyBorder="1" applyAlignment="1">
      <alignment horizontal="center"/>
    </xf>
    <xf numFmtId="1" fontId="5" fillId="0" borderId="0" xfId="0" applyNumberFormat="1" applyFont="1" applyAlignment="1" applyProtection="1">
      <alignment horizontal="center"/>
      <protection locked="0"/>
    </xf>
    <xf numFmtId="0" fontId="11" fillId="11" borderId="0" xfId="5" applyFont="1" applyFill="1" applyBorder="1" applyAlignment="1">
      <alignment horizontal="center" vertical="center"/>
    </xf>
    <xf numFmtId="0" fontId="7" fillId="9" borderId="0" xfId="5" applyFill="1" applyBorder="1" applyAlignment="1">
      <alignment horizontal="center"/>
    </xf>
    <xf numFmtId="0" fontId="7" fillId="9" borderId="33" xfId="5" applyFill="1" applyBorder="1" applyAlignment="1">
      <alignment horizontal="center"/>
    </xf>
    <xf numFmtId="0" fontId="7" fillId="9" borderId="34" xfId="5" applyFill="1" applyBorder="1" applyAlignment="1">
      <alignment horizontal="center"/>
    </xf>
    <xf numFmtId="0" fontId="7" fillId="11" borderId="35" xfId="5" applyFill="1" applyBorder="1" applyAlignment="1">
      <alignment horizontal="center"/>
    </xf>
    <xf numFmtId="0" fontId="7" fillId="11" borderId="36" xfId="5" applyFill="1" applyBorder="1" applyAlignment="1">
      <alignment horizontal="center"/>
    </xf>
    <xf numFmtId="0" fontId="12" fillId="9" borderId="36" xfId="6" applyFont="1" applyFill="1" applyBorder="1"/>
    <xf numFmtId="1" fontId="5" fillId="0" borderId="37" xfId="0" applyNumberFormat="1" applyFont="1" applyBorder="1" applyAlignment="1" applyProtection="1">
      <alignment horizontal="center"/>
      <protection locked="0"/>
    </xf>
    <xf numFmtId="0" fontId="0" fillId="11" borderId="38" xfId="0" applyFill="1" applyBorder="1" applyAlignment="1">
      <alignment horizontal="center"/>
    </xf>
    <xf numFmtId="1" fontId="5" fillId="0" borderId="39" xfId="0" applyNumberFormat="1" applyFont="1" applyBorder="1" applyAlignment="1" applyProtection="1">
      <alignment horizontal="center"/>
      <protection locked="0"/>
    </xf>
    <xf numFmtId="0" fontId="0" fillId="11" borderId="40" xfId="0" applyFill="1" applyBorder="1" applyAlignment="1">
      <alignment horizontal="center"/>
    </xf>
    <xf numFmtId="1" fontId="0" fillId="11" borderId="40" xfId="0" applyNumberFormat="1" applyFill="1" applyBorder="1" applyAlignment="1">
      <alignment horizontal="center"/>
    </xf>
    <xf numFmtId="0" fontId="16" fillId="0" borderId="0" xfId="0" applyFont="1"/>
    <xf numFmtId="0" fontId="16" fillId="0" borderId="0" xfId="5" applyFont="1" applyFill="1" applyBorder="1" applyAlignment="1">
      <alignment horizontal="center" vertical="center" wrapText="1"/>
    </xf>
    <xf numFmtId="0" fontId="16" fillId="0" borderId="0" xfId="5" applyFont="1" applyFill="1" applyBorder="1" applyAlignment="1">
      <alignment horizontal="center"/>
    </xf>
    <xf numFmtId="0" fontId="17" fillId="0" borderId="0" xfId="6" applyFont="1" applyFill="1" applyBorder="1"/>
    <xf numFmtId="0" fontId="16" fillId="0" borderId="0" xfId="0" applyFont="1" applyAlignment="1">
      <alignment horizontal="center"/>
    </xf>
    <xf numFmtId="0" fontId="0" fillId="10" borderId="0" xfId="0" applyFill="1" applyAlignment="1">
      <alignment horizontal="center" vertical="center"/>
    </xf>
    <xf numFmtId="0" fontId="0" fillId="5" borderId="0" xfId="0" applyFill="1" applyAlignment="1">
      <alignment horizontal="center" wrapText="1"/>
    </xf>
    <xf numFmtId="0" fontId="4" fillId="2" borderId="0" xfId="0" applyFont="1" applyFill="1" applyAlignment="1">
      <alignment horizontal="center"/>
    </xf>
    <xf numFmtId="0" fontId="17" fillId="0" borderId="0" xfId="6" applyFont="1" applyFill="1" applyBorder="1" applyAlignment="1">
      <alignment horizontal="center"/>
    </xf>
    <xf numFmtId="165" fontId="0" fillId="0" borderId="0" xfId="0" applyNumberFormat="1"/>
    <xf numFmtId="165" fontId="0" fillId="0" borderId="0" xfId="0" applyNumberFormat="1" applyAlignment="1">
      <alignment horizontal="center"/>
    </xf>
    <xf numFmtId="166" fontId="0" fillId="0" borderId="0" xfId="0" applyNumberFormat="1"/>
    <xf numFmtId="44" fontId="0" fillId="0" borderId="0" xfId="2" applyFont="1" applyFill="1" applyAlignment="1">
      <alignment horizontal="right"/>
    </xf>
    <xf numFmtId="166" fontId="0" fillId="0" borderId="0" xfId="0" applyNumberFormat="1" applyAlignment="1">
      <alignment horizontal="center"/>
    </xf>
    <xf numFmtId="166" fontId="0" fillId="0" borderId="0" xfId="2" applyNumberFormat="1" applyFont="1" applyFill="1"/>
    <xf numFmtId="166" fontId="0" fillId="0" borderId="0" xfId="2" applyNumberFormat="1" applyFont="1" applyFill="1" applyAlignment="1">
      <alignment horizontal="center"/>
    </xf>
    <xf numFmtId="44" fontId="3" fillId="0" borderId="0" xfId="2" applyFont="1" applyFill="1" applyAlignment="1">
      <alignment horizontal="right"/>
    </xf>
    <xf numFmtId="0" fontId="0" fillId="0" borderId="3" xfId="0" applyBorder="1"/>
    <xf numFmtId="44" fontId="0" fillId="0" borderId="0" xfId="2" quotePrefix="1" applyFont="1" applyFill="1" applyAlignment="1">
      <alignment horizontal="right"/>
    </xf>
    <xf numFmtId="1" fontId="5" fillId="0" borderId="43" xfId="0" applyNumberFormat="1" applyFont="1" applyBorder="1" applyAlignment="1" applyProtection="1">
      <alignment horizontal="center"/>
      <protection locked="0"/>
    </xf>
    <xf numFmtId="0" fontId="0" fillId="11" borderId="44" xfId="0" applyFill="1" applyBorder="1" applyAlignment="1">
      <alignment horizontal="center"/>
    </xf>
    <xf numFmtId="0" fontId="12" fillId="9" borderId="49" xfId="6" applyFont="1" applyFill="1" applyBorder="1" applyAlignment="1">
      <alignment horizontal="center"/>
    </xf>
    <xf numFmtId="0" fontId="12" fillId="9" borderId="50" xfId="6" applyFont="1" applyFill="1" applyBorder="1"/>
    <xf numFmtId="0" fontId="12" fillId="9" borderId="51" xfId="6" applyFont="1" applyFill="1" applyBorder="1"/>
    <xf numFmtId="0" fontId="12" fillId="9" borderId="52" xfId="6" applyFont="1" applyFill="1" applyBorder="1" applyAlignment="1">
      <alignment horizontal="center"/>
    </xf>
    <xf numFmtId="0" fontId="12" fillId="9" borderId="53" xfId="6" applyFont="1" applyFill="1" applyBorder="1"/>
    <xf numFmtId="0" fontId="12" fillId="9" borderId="54" xfId="6" applyFont="1" applyFill="1" applyBorder="1"/>
    <xf numFmtId="0" fontId="12" fillId="9" borderId="25" xfId="6" applyFont="1" applyFill="1" applyBorder="1" applyAlignment="1">
      <alignment horizontal="center"/>
    </xf>
    <xf numFmtId="1" fontId="5" fillId="0" borderId="56" xfId="0" applyNumberFormat="1" applyFont="1" applyBorder="1" applyAlignment="1" applyProtection="1">
      <alignment horizontal="center"/>
      <protection locked="0"/>
    </xf>
    <xf numFmtId="0" fontId="0" fillId="11" borderId="57" xfId="0" applyFill="1" applyBorder="1" applyAlignment="1">
      <alignment horizontal="center"/>
    </xf>
    <xf numFmtId="0" fontId="0" fillId="11" borderId="42" xfId="0" applyFill="1" applyBorder="1" applyAlignment="1">
      <alignment horizontal="center" vertical="top"/>
    </xf>
    <xf numFmtId="0" fontId="0" fillId="11" borderId="32" xfId="0" applyFill="1" applyBorder="1" applyAlignment="1">
      <alignment horizontal="center" vertical="top"/>
    </xf>
    <xf numFmtId="0" fontId="0" fillId="11" borderId="31" xfId="0" applyFill="1" applyBorder="1" applyAlignment="1">
      <alignment horizontal="center"/>
    </xf>
    <xf numFmtId="0" fontId="0" fillId="11" borderId="32" xfId="0" applyFill="1" applyBorder="1" applyAlignment="1">
      <alignment horizontal="center"/>
    </xf>
    <xf numFmtId="0" fontId="0" fillId="11" borderId="59" xfId="0" applyFill="1" applyBorder="1" applyAlignment="1">
      <alignment horizontal="center"/>
    </xf>
    <xf numFmtId="0" fontId="0" fillId="12" borderId="18" xfId="0" applyFill="1" applyBorder="1" applyAlignment="1">
      <alignment horizontal="center"/>
    </xf>
    <xf numFmtId="0" fontId="7" fillId="9" borderId="27" xfId="5" applyFill="1" applyBorder="1" applyAlignment="1">
      <alignment vertical="center"/>
    </xf>
    <xf numFmtId="0" fontId="7" fillId="9" borderId="29" xfId="5" applyFill="1" applyBorder="1" applyAlignment="1">
      <alignment vertical="center"/>
    </xf>
    <xf numFmtId="0" fontId="0" fillId="11" borderId="46" xfId="0" applyFill="1" applyBorder="1" applyAlignment="1">
      <alignment horizontal="center"/>
    </xf>
    <xf numFmtId="0" fontId="0" fillId="11" borderId="55" xfId="0" applyFill="1" applyBorder="1" applyAlignment="1">
      <alignment horizontal="center"/>
    </xf>
    <xf numFmtId="0" fontId="0" fillId="11" borderId="31" xfId="0" applyFill="1" applyBorder="1" applyAlignment="1">
      <alignment horizontal="center" vertical="top"/>
    </xf>
    <xf numFmtId="0" fontId="19" fillId="9" borderId="45" xfId="6" applyFont="1" applyFill="1" applyBorder="1"/>
    <xf numFmtId="0" fontId="20" fillId="9" borderId="45" xfId="6" applyFont="1" applyFill="1" applyBorder="1"/>
    <xf numFmtId="0" fontId="4" fillId="11" borderId="6" xfId="5" applyFont="1" applyFill="1" applyBorder="1" applyAlignment="1">
      <alignment horizontal="center" vertical="center"/>
    </xf>
    <xf numFmtId="0" fontId="4" fillId="11" borderId="6" xfId="5" applyFont="1" applyFill="1" applyBorder="1" applyAlignment="1">
      <alignment horizontal="center" vertical="center" wrapText="1"/>
    </xf>
    <xf numFmtId="0" fontId="0" fillId="11" borderId="6" xfId="5" applyFont="1" applyFill="1" applyBorder="1" applyAlignment="1">
      <alignment horizontal="center" vertical="center"/>
    </xf>
    <xf numFmtId="0" fontId="4" fillId="11" borderId="11" xfId="5" applyFont="1" applyFill="1" applyBorder="1" applyAlignment="1">
      <alignment horizontal="center" vertical="center" wrapText="1"/>
    </xf>
    <xf numFmtId="44" fontId="16" fillId="0" borderId="0" xfId="2" quotePrefix="1" applyFont="1" applyFill="1" applyAlignment="1">
      <alignment horizontal="right"/>
    </xf>
    <xf numFmtId="44" fontId="16" fillId="0" borderId="0" xfId="2" applyFont="1" applyFill="1" applyAlignment="1">
      <alignment horizontal="right"/>
    </xf>
    <xf numFmtId="164" fontId="16" fillId="0" borderId="0" xfId="1" applyNumberFormat="1" applyFont="1" applyAlignment="1">
      <alignment horizontal="right"/>
    </xf>
    <xf numFmtId="0" fontId="11" fillId="9" borderId="14" xfId="5" applyFont="1" applyFill="1" applyBorder="1" applyAlignment="1">
      <alignment horizontal="center" vertical="center"/>
    </xf>
    <xf numFmtId="0" fontId="11" fillId="9" borderId="15" xfId="5" applyFont="1" applyFill="1" applyBorder="1" applyAlignment="1">
      <alignment horizontal="center" vertical="center"/>
    </xf>
    <xf numFmtId="0" fontId="11" fillId="9" borderId="16" xfId="5" applyFont="1" applyFill="1" applyBorder="1" applyAlignment="1">
      <alignment horizontal="center" vertical="center"/>
    </xf>
    <xf numFmtId="0" fontId="0" fillId="12" borderId="0" xfId="0" applyFill="1" applyAlignment="1">
      <alignment horizontal="left" vertical="top" wrapText="1"/>
    </xf>
    <xf numFmtId="0" fontId="0" fillId="12" borderId="0" xfId="0" quotePrefix="1" applyFill="1" applyAlignment="1">
      <alignment horizontal="left" vertical="top" wrapText="1"/>
    </xf>
    <xf numFmtId="0" fontId="11" fillId="0" borderId="0" xfId="5" applyFont="1" applyFill="1" applyBorder="1" applyAlignment="1">
      <alignment horizontal="center" vertical="center"/>
    </xf>
    <xf numFmtId="0" fontId="5" fillId="0" borderId="0" xfId="0" applyFont="1" applyAlignment="1" applyProtection="1">
      <alignment vertical="top" wrapText="1"/>
      <protection locked="0"/>
    </xf>
    <xf numFmtId="0" fontId="11" fillId="9" borderId="17" xfId="5" applyFont="1" applyFill="1" applyBorder="1" applyAlignment="1">
      <alignment horizontal="center" vertical="center" wrapText="1"/>
    </xf>
    <xf numFmtId="0" fontId="11" fillId="9" borderId="18" xfId="5" applyFont="1" applyFill="1" applyBorder="1" applyAlignment="1">
      <alignment horizontal="center" vertical="center" wrapText="1"/>
    </xf>
    <xf numFmtId="0" fontId="11" fillId="9" borderId="19" xfId="5" applyFont="1" applyFill="1" applyBorder="1" applyAlignment="1">
      <alignment horizontal="center" vertical="center" wrapText="1"/>
    </xf>
    <xf numFmtId="0" fontId="7" fillId="9" borderId="10" xfId="5" applyFill="1" applyBorder="1" applyAlignment="1">
      <alignment horizontal="center" vertical="center" wrapText="1"/>
    </xf>
    <xf numFmtId="0" fontId="7" fillId="9" borderId="3" xfId="5" applyFill="1" applyBorder="1" applyAlignment="1">
      <alignment horizontal="center" vertical="center" wrapText="1"/>
    </xf>
    <xf numFmtId="0" fontId="7" fillId="9" borderId="11" xfId="5" applyFill="1" applyBorder="1" applyAlignment="1">
      <alignment horizontal="center" vertical="center" wrapText="1"/>
    </xf>
    <xf numFmtId="0" fontId="9" fillId="9" borderId="17" xfId="5" applyFont="1" applyFill="1" applyBorder="1" applyAlignment="1">
      <alignment horizontal="center" vertical="center" wrapText="1"/>
    </xf>
    <xf numFmtId="0" fontId="9" fillId="9" borderId="18" xfId="5" applyFont="1" applyFill="1" applyBorder="1" applyAlignment="1">
      <alignment horizontal="center" vertical="center" wrapText="1"/>
    </xf>
    <xf numFmtId="0" fontId="9" fillId="9" borderId="19" xfId="5" applyFont="1" applyFill="1" applyBorder="1" applyAlignment="1">
      <alignment horizontal="center" vertical="center" wrapText="1"/>
    </xf>
    <xf numFmtId="0" fontId="7" fillId="9" borderId="10" xfId="5" applyFill="1" applyBorder="1" applyAlignment="1">
      <alignment horizontal="center" vertical="center"/>
    </xf>
    <xf numFmtId="0" fontId="7" fillId="9" borderId="3" xfId="5" applyFill="1" applyBorder="1" applyAlignment="1">
      <alignment horizontal="center" vertical="center"/>
    </xf>
    <xf numFmtId="0" fontId="7" fillId="9" borderId="11" xfId="5" applyFill="1" applyBorder="1" applyAlignment="1">
      <alignment horizontal="center" vertical="center"/>
    </xf>
    <xf numFmtId="0" fontId="4" fillId="5" borderId="2" xfId="0" applyFont="1" applyFill="1" applyBorder="1" applyAlignment="1">
      <alignment horizontal="right"/>
    </xf>
    <xf numFmtId="0" fontId="3" fillId="0" borderId="0" xfId="0" applyFont="1" applyAlignment="1">
      <alignment horizontal="center" vertical="center" textRotation="46" wrapText="1"/>
    </xf>
    <xf numFmtId="0" fontId="11" fillId="9" borderId="26" xfId="5" applyFont="1" applyFill="1" applyBorder="1" applyAlignment="1">
      <alignment horizontal="center" vertical="center"/>
    </xf>
    <xf numFmtId="0" fontId="11" fillId="9" borderId="13" xfId="5" applyFont="1" applyFill="1" applyBorder="1" applyAlignment="1">
      <alignment horizontal="center" vertical="center"/>
    </xf>
    <xf numFmtId="0" fontId="7" fillId="9" borderId="27" xfId="5" applyFill="1" applyBorder="1" applyAlignment="1">
      <alignment horizontal="center" vertical="center" wrapText="1"/>
    </xf>
    <xf numFmtId="0" fontId="7" fillId="9" borderId="28" xfId="5" applyFill="1" applyBorder="1" applyAlignment="1">
      <alignment horizontal="center" vertical="center" wrapText="1"/>
    </xf>
    <xf numFmtId="0" fontId="7" fillId="9" borderId="29" xfId="5" applyFill="1" applyBorder="1" applyAlignment="1">
      <alignment horizontal="center" vertical="center" wrapText="1"/>
    </xf>
    <xf numFmtId="0" fontId="7" fillId="9" borderId="30" xfId="5" applyFill="1" applyBorder="1" applyAlignment="1">
      <alignment horizontal="center" vertical="center" wrapText="1"/>
    </xf>
    <xf numFmtId="0" fontId="0" fillId="11" borderId="39" xfId="0" applyFill="1" applyBorder="1" applyAlignment="1">
      <alignment horizontal="center"/>
    </xf>
    <xf numFmtId="0" fontId="0" fillId="11" borderId="40" xfId="0" applyFill="1" applyBorder="1" applyAlignment="1">
      <alignment horizontal="center"/>
    </xf>
    <xf numFmtId="0" fontId="0" fillId="12" borderId="18" xfId="0" applyFill="1" applyBorder="1" applyAlignment="1">
      <alignment horizontal="center"/>
    </xf>
    <xf numFmtId="0" fontId="0" fillId="11" borderId="47" xfId="0" applyFill="1" applyBorder="1" applyAlignment="1">
      <alignment horizontal="center"/>
    </xf>
    <xf numFmtId="0" fontId="0" fillId="11" borderId="48" xfId="0" applyFill="1" applyBorder="1" applyAlignment="1">
      <alignment horizontal="center"/>
    </xf>
    <xf numFmtId="0" fontId="0" fillId="11" borderId="58" xfId="0" applyFill="1" applyBorder="1" applyAlignment="1">
      <alignment horizontal="center"/>
    </xf>
    <xf numFmtId="0" fontId="0" fillId="11" borderId="41" xfId="0" applyFill="1" applyBorder="1" applyAlignment="1">
      <alignment horizontal="center"/>
    </xf>
  </cellXfs>
  <cellStyles count="8">
    <cellStyle name="60 % - Accent5" xfId="6" builtinId="48"/>
    <cellStyle name="Accent5" xfId="5" builtinId="45"/>
    <cellStyle name="Lien hypertexte" xfId="4" builtinId="8"/>
    <cellStyle name="Milliers" xfId="1" builtinId="3"/>
    <cellStyle name="Monétaire" xfId="2" builtinId="4"/>
    <cellStyle name="Normal" xfId="0" builtinId="0"/>
    <cellStyle name="Titre 1" xfId="3" builtinId="16"/>
    <cellStyle name="Titre 3" xfId="7" builtinId="18"/>
  </cellStyles>
  <dxfs count="2">
    <dxf>
      <fill>
        <patternFill>
          <bgColor theme="7" tint="0.79998168889431442"/>
        </patternFill>
      </fill>
    </dxf>
    <dxf>
      <fill>
        <patternFill>
          <bgColor theme="9" tint="0.79998168889431442"/>
        </patternFill>
      </fill>
    </dxf>
  </dxfs>
  <tableStyles count="0" defaultTableStyle="TableStyleMedium2" defaultPivotStyle="PivotStyleLight16"/>
  <colors>
    <mruColors>
      <color rgb="FF1FB7C6"/>
      <color rgb="FFE7FAFC"/>
      <color rgb="FF363A42"/>
      <color rgb="FFE1E3E6"/>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alculateur!A1"/></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Description!A1"/><Relationship Id="rId4"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1725084</xdr:colOff>
      <xdr:row>1</xdr:row>
      <xdr:rowOff>190501</xdr:rowOff>
    </xdr:from>
    <xdr:to>
      <xdr:col>3</xdr:col>
      <xdr:colOff>1799166</xdr:colOff>
      <xdr:row>1</xdr:row>
      <xdr:rowOff>565151</xdr:rowOff>
    </xdr:to>
    <xdr:sp macro="" textlink="">
      <xdr:nvSpPr>
        <xdr:cNvPr id="9" name="Rectangle : coins arrondis 8">
          <a:hlinkClick xmlns:r="http://schemas.openxmlformats.org/officeDocument/2006/relationships" r:id="rId1"/>
          <a:extLst>
            <a:ext uri="{FF2B5EF4-FFF2-40B4-BE49-F238E27FC236}">
              <a16:creationId xmlns:a16="http://schemas.microsoft.com/office/drawing/2014/main" id="{8AD16307-B131-9E47-B8AC-42E7C94EF5B6}"/>
            </a:ext>
          </a:extLst>
        </xdr:cNvPr>
        <xdr:cNvSpPr/>
      </xdr:nvSpPr>
      <xdr:spPr>
        <a:xfrm>
          <a:off x="6614584" y="1026584"/>
          <a:ext cx="1904999" cy="374650"/>
        </a:xfrm>
        <a:prstGeom prst="roundRect">
          <a:avLst>
            <a:gd name="adj" fmla="val 50000"/>
          </a:avLst>
        </a:prstGeom>
        <a:solidFill>
          <a:srgbClr val="1FB7C6"/>
        </a:solidFill>
        <a:ln>
          <a:noFill/>
        </a:ln>
        <a:effectLst/>
        <a:scene3d>
          <a:camera prst="orthographicFront"/>
          <a:lightRig rig="balanced" dir="t"/>
        </a:scene3d>
        <a:sp3d>
          <a:bevelB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H" sz="1400"/>
            <a:t>CALCULATEUR</a:t>
          </a:r>
        </a:p>
      </xdr:txBody>
    </xdr:sp>
    <xdr:clientData/>
  </xdr:twoCellAnchor>
  <xdr:twoCellAnchor editAs="oneCell">
    <xdr:from>
      <xdr:col>1</xdr:col>
      <xdr:colOff>12700</xdr:colOff>
      <xdr:row>0</xdr:row>
      <xdr:rowOff>101600</xdr:rowOff>
    </xdr:from>
    <xdr:to>
      <xdr:col>1</xdr:col>
      <xdr:colOff>1358900</xdr:colOff>
      <xdr:row>0</xdr:row>
      <xdr:rowOff>776017</xdr:rowOff>
    </xdr:to>
    <xdr:pic>
      <xdr:nvPicPr>
        <xdr:cNvPr id="10" name="Image 9">
          <a:extLst>
            <a:ext uri="{FF2B5EF4-FFF2-40B4-BE49-F238E27FC236}">
              <a16:creationId xmlns:a16="http://schemas.microsoft.com/office/drawing/2014/main" id="{3E7CDAB4-8419-D041-90B5-0654A3BDBF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101600"/>
          <a:ext cx="1346200" cy="674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274019</xdr:colOff>
      <xdr:row>1</xdr:row>
      <xdr:rowOff>177800</xdr:rowOff>
    </xdr:from>
    <xdr:to>
      <xdr:col>4</xdr:col>
      <xdr:colOff>3753</xdr:colOff>
      <xdr:row>1</xdr:row>
      <xdr:rowOff>546100</xdr:rowOff>
    </xdr:to>
    <xdr:sp macro="" textlink="">
      <xdr:nvSpPr>
        <xdr:cNvPr id="2" name="Rectangle : coins arrondis 1">
          <a:hlinkClick xmlns:r="http://schemas.openxmlformats.org/officeDocument/2006/relationships" r:id="rId1"/>
          <a:extLst>
            <a:ext uri="{FF2B5EF4-FFF2-40B4-BE49-F238E27FC236}">
              <a16:creationId xmlns:a16="http://schemas.microsoft.com/office/drawing/2014/main" id="{79089BD6-4C8E-472E-A3A0-1F00B567955A}"/>
            </a:ext>
          </a:extLst>
        </xdr:cNvPr>
        <xdr:cNvSpPr/>
      </xdr:nvSpPr>
      <xdr:spPr>
        <a:xfrm>
          <a:off x="5333999" y="1014874"/>
          <a:ext cx="2229695" cy="368300"/>
        </a:xfrm>
        <a:prstGeom prst="roundRect">
          <a:avLst>
            <a:gd name="adj" fmla="val 50000"/>
          </a:avLst>
        </a:prstGeom>
        <a:solidFill>
          <a:srgbClr val="1FB7C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H" sz="1400"/>
            <a:t>DESCRIPTION DE L'OUTIL</a:t>
          </a:r>
        </a:p>
      </xdr:txBody>
    </xdr:sp>
    <xdr:clientData/>
  </xdr:twoCellAnchor>
  <xdr:twoCellAnchor editAs="oneCell">
    <xdr:from>
      <xdr:col>1</xdr:col>
      <xdr:colOff>12700</xdr:colOff>
      <xdr:row>0</xdr:row>
      <xdr:rowOff>101600</xdr:rowOff>
    </xdr:from>
    <xdr:to>
      <xdr:col>1</xdr:col>
      <xdr:colOff>1358900</xdr:colOff>
      <xdr:row>0</xdr:row>
      <xdr:rowOff>776017</xdr:rowOff>
    </xdr:to>
    <xdr:pic>
      <xdr:nvPicPr>
        <xdr:cNvPr id="4" name="Image 3">
          <a:extLst>
            <a:ext uri="{FF2B5EF4-FFF2-40B4-BE49-F238E27FC236}">
              <a16:creationId xmlns:a16="http://schemas.microsoft.com/office/drawing/2014/main" id="{7ED62D3A-9D93-3F47-B320-F8D1FEE0D3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9400" y="101600"/>
          <a:ext cx="1346200" cy="674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476250</xdr:colOff>
          <xdr:row>49</xdr:row>
          <xdr:rowOff>195660</xdr:rowOff>
        </xdr:from>
        <xdr:to>
          <xdr:col>5</xdr:col>
          <xdr:colOff>192087</xdr:colOff>
          <xdr:row>58</xdr:row>
          <xdr:rowOff>41766</xdr:rowOff>
        </xdr:to>
        <xdr:pic>
          <xdr:nvPicPr>
            <xdr:cNvPr id="8" name="Image 7">
              <a:extLst>
                <a:ext uri="{FF2B5EF4-FFF2-40B4-BE49-F238E27FC236}">
                  <a16:creationId xmlns:a16="http://schemas.microsoft.com/office/drawing/2014/main" id="{2535088B-2CCA-443B-99AA-175A71B40E86}"/>
                </a:ext>
              </a:extLst>
            </xdr:cNvPr>
            <xdr:cNvPicPr>
              <a:picLocks noChangeAspect="1" noChangeArrowheads="1"/>
              <a:extLst>
                <a:ext uri="{84589F7E-364E-4C9E-8A38-B11213B215E9}">
                  <a14:cameraTool cellRange="$AO$52:$AW$62" spid="_x0000_s4150"/>
                </a:ext>
              </a:extLst>
            </xdr:cNvPicPr>
          </xdr:nvPicPr>
          <xdr:blipFill>
            <a:blip xmlns:r="http://schemas.openxmlformats.org/officeDocument/2006/relationships" r:embed="rId3"/>
            <a:srcRect/>
            <a:stretch>
              <a:fillRect/>
            </a:stretch>
          </xdr:blipFill>
          <xdr:spPr bwMode="auto">
            <a:xfrm>
              <a:off x="476250" y="10585848"/>
              <a:ext cx="8334375" cy="208256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49</xdr:row>
          <xdr:rowOff>196850</xdr:rowOff>
        </xdr:from>
        <xdr:to>
          <xdr:col>5</xdr:col>
          <xdr:colOff>190500</xdr:colOff>
          <xdr:row>58</xdr:row>
          <xdr:rowOff>44450</xdr:rowOff>
        </xdr:to>
        <xdr:pic>
          <xdr:nvPicPr>
            <xdr:cNvPr id="4098" name="Image 7">
              <a:extLst>
                <a:ext uri="{FF2B5EF4-FFF2-40B4-BE49-F238E27FC236}">
                  <a16:creationId xmlns:a16="http://schemas.microsoft.com/office/drawing/2014/main" id="{1499475C-5A76-8F1C-ADA9-82A70A329F83}"/>
                </a:ext>
              </a:extLst>
            </xdr:cNvPr>
            <xdr:cNvPicPr>
              <a:picLocks noChangeAspect="1" noChangeArrowheads="1"/>
              <a:extLst>
                <a:ext uri="{84589F7E-364E-4C9E-8A38-B11213B215E9}">
                  <a14:cameraTool cellRange="$AO$52:$AW$62" spid="_x0000_s4151"/>
                </a:ext>
              </a:extLst>
            </xdr:cNvPicPr>
          </xdr:nvPicPr>
          <xdr:blipFill>
            <a:blip xmlns:r="http://schemas.openxmlformats.org/officeDocument/2006/relationships" r:embed="rId4"/>
            <a:srcRect/>
            <a:stretch>
              <a:fillRect/>
            </a:stretch>
          </xdr:blipFill>
          <xdr:spPr bwMode="auto">
            <a:xfrm>
              <a:off x="400050" y="11150600"/>
              <a:ext cx="8737600" cy="2038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49</xdr:row>
          <xdr:rowOff>196850</xdr:rowOff>
        </xdr:from>
        <xdr:to>
          <xdr:col>5</xdr:col>
          <xdr:colOff>190500</xdr:colOff>
          <xdr:row>58</xdr:row>
          <xdr:rowOff>44450</xdr:rowOff>
        </xdr:to>
        <xdr:pic>
          <xdr:nvPicPr>
            <xdr:cNvPr id="4126" name="Image 7">
              <a:extLst>
                <a:ext uri="{FF2B5EF4-FFF2-40B4-BE49-F238E27FC236}">
                  <a16:creationId xmlns:a16="http://schemas.microsoft.com/office/drawing/2014/main" id="{1CFD2E83-6103-0E48-E91C-2EE3144E18A5}"/>
                </a:ext>
              </a:extLst>
            </xdr:cNvPr>
            <xdr:cNvPicPr>
              <a:picLocks noChangeAspect="1" noChangeArrowheads="1"/>
              <a:extLst>
                <a:ext uri="{84589F7E-364E-4C9E-8A38-B11213B215E9}">
                  <a14:cameraTool cellRange="$AO$52:$AW$62" spid="_x0000_s4152"/>
                </a:ext>
              </a:extLst>
            </xdr:cNvPicPr>
          </xdr:nvPicPr>
          <xdr:blipFill>
            <a:blip xmlns:r="http://schemas.openxmlformats.org/officeDocument/2006/relationships" r:embed="rId4"/>
            <a:srcRect/>
            <a:stretch>
              <a:fillRect/>
            </a:stretch>
          </xdr:blipFill>
          <xdr:spPr bwMode="auto">
            <a:xfrm>
              <a:off x="400050" y="11150600"/>
              <a:ext cx="8737600" cy="2038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49</xdr:row>
          <xdr:rowOff>196850</xdr:rowOff>
        </xdr:from>
        <xdr:to>
          <xdr:col>5</xdr:col>
          <xdr:colOff>190500</xdr:colOff>
          <xdr:row>58</xdr:row>
          <xdr:rowOff>44450</xdr:rowOff>
        </xdr:to>
        <xdr:pic>
          <xdr:nvPicPr>
            <xdr:cNvPr id="4127" name="Picture 1055">
              <a:extLst>
                <a:ext uri="{FF2B5EF4-FFF2-40B4-BE49-F238E27FC236}">
                  <a16:creationId xmlns:a16="http://schemas.microsoft.com/office/drawing/2014/main" id="{1D20051A-A4DC-8ACB-9024-B783E2ADEDBC}"/>
                </a:ext>
              </a:extLst>
            </xdr:cNvPr>
            <xdr:cNvPicPr>
              <a:picLocks noChangeAspect="1" noChangeArrowheads="1"/>
              <a:extLst>
                <a:ext uri="{84589F7E-364E-4C9E-8A38-B11213B215E9}">
                  <a14:cameraTool cellRange="$AO$52:$AW$62" spid="_x0000_s4153"/>
                </a:ext>
              </a:extLst>
            </xdr:cNvPicPr>
          </xdr:nvPicPr>
          <xdr:blipFill>
            <a:blip xmlns:r="http://schemas.openxmlformats.org/officeDocument/2006/relationships" r:embed="rId4"/>
            <a:srcRect/>
            <a:stretch>
              <a:fillRect/>
            </a:stretch>
          </xdr:blipFill>
          <xdr:spPr bwMode="auto">
            <a:xfrm>
              <a:off x="400050" y="11150600"/>
              <a:ext cx="8737600" cy="2038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3F9D5-DC85-4A5D-AF3C-D9B8CEFE03BA}">
  <sheetPr>
    <pageSetUpPr fitToPage="1"/>
  </sheetPr>
  <dimension ref="A1:H41"/>
  <sheetViews>
    <sheetView showGridLines="0" showRowColHeaders="0" tabSelected="1" zoomScale="120" zoomScaleNormal="120" workbookViewId="0">
      <pane ySplit="2" topLeftCell="A3" activePane="bottomLeft" state="frozen"/>
      <selection pane="bottomLeft" activeCell="G6" sqref="G6:G9"/>
    </sheetView>
  </sheetViews>
  <sheetFormatPr baseColWidth="10" defaultColWidth="11.26953125" defaultRowHeight="14.5"/>
  <cols>
    <col min="1" max="1" width="7.26953125" customWidth="1"/>
    <col min="2" max="2" width="56.81640625" style="24" customWidth="1"/>
    <col min="3" max="4" width="24" style="22" customWidth="1"/>
    <col min="5" max="5" width="10.26953125" style="22" customWidth="1"/>
    <col min="6" max="6" width="11.26953125" style="22" customWidth="1"/>
    <col min="8" max="16384" width="11.26953125" style="22"/>
  </cols>
  <sheetData>
    <row r="1" spans="1:8" s="39" customFormat="1" ht="66" customHeight="1">
      <c r="C1" s="40"/>
      <c r="D1" s="40"/>
    </row>
    <row r="2" spans="1:8" s="34" customFormat="1" ht="57" customHeight="1">
      <c r="B2" s="38" t="s">
        <v>0</v>
      </c>
      <c r="C2" s="35"/>
      <c r="D2" s="36"/>
    </row>
    <row r="3" spans="1:8" s="37" customFormat="1" ht="15" customHeight="1">
      <c r="A3" s="68"/>
      <c r="B3" s="67"/>
      <c r="C3" s="69"/>
      <c r="D3" s="70"/>
      <c r="E3" s="68"/>
    </row>
    <row r="4" spans="1:8" ht="15" customHeight="1">
      <c r="A4" s="50"/>
      <c r="B4" s="147" t="s">
        <v>1</v>
      </c>
      <c r="C4" s="148"/>
      <c r="D4" s="149"/>
      <c r="E4" s="71"/>
      <c r="G4" s="22"/>
    </row>
    <row r="5" spans="1:8" ht="15" customHeight="1">
      <c r="A5" s="50"/>
      <c r="B5" s="75"/>
      <c r="C5" s="75"/>
      <c r="D5" s="75"/>
      <c r="E5" s="71"/>
      <c r="G5" s="22"/>
    </row>
    <row r="6" spans="1:8" ht="309" customHeight="1">
      <c r="A6" s="50"/>
      <c r="B6" s="150" t="s">
        <v>2</v>
      </c>
      <c r="C6" s="150"/>
      <c r="D6" s="150"/>
      <c r="E6" s="71"/>
      <c r="G6" s="152"/>
      <c r="H6" s="74"/>
    </row>
    <row r="7" spans="1:8" ht="15" customHeight="1">
      <c r="A7" s="50"/>
      <c r="B7" s="147" t="s">
        <v>3</v>
      </c>
      <c r="C7" s="148"/>
      <c r="D7" s="149"/>
      <c r="E7" s="71"/>
      <c r="G7" s="152"/>
    </row>
    <row r="8" spans="1:8" ht="15" customHeight="1">
      <c r="A8" s="50"/>
      <c r="B8" s="75"/>
      <c r="C8" s="75"/>
      <c r="D8" s="75"/>
      <c r="E8" s="71"/>
      <c r="G8" s="152"/>
    </row>
    <row r="9" spans="1:8" s="23" customFormat="1" ht="216" customHeight="1">
      <c r="A9" s="50"/>
      <c r="B9" s="151" t="s">
        <v>4</v>
      </c>
      <c r="C9" s="151"/>
      <c r="D9" s="151"/>
      <c r="E9" s="72"/>
      <c r="G9" s="152"/>
    </row>
    <row r="10" spans="1:8" ht="15" customHeight="1">
      <c r="A10" s="50"/>
      <c r="B10" s="73"/>
      <c r="C10" s="71"/>
      <c r="D10" s="71"/>
      <c r="E10" s="71"/>
    </row>
    <row r="11" spans="1:8" ht="39.5" hidden="1" thickBot="1">
      <c r="A11" s="76"/>
      <c r="B11" s="77" t="s">
        <v>5</v>
      </c>
      <c r="C11" s="76"/>
      <c r="G11" s="22"/>
    </row>
    <row r="12" spans="1:8" ht="15.5" hidden="1" thickTop="1" thickBot="1">
      <c r="A12" s="76"/>
      <c r="B12" s="78" t="s">
        <v>6</v>
      </c>
      <c r="C12" s="76"/>
      <c r="G12" s="22"/>
    </row>
    <row r="13" spans="1:8" ht="43.5" hidden="1">
      <c r="A13" s="76"/>
      <c r="B13" s="79" t="s">
        <v>7</v>
      </c>
      <c r="C13" s="76"/>
      <c r="G13" s="22"/>
    </row>
    <row r="14" spans="1:8" hidden="1">
      <c r="A14" s="76"/>
      <c r="B14" s="79" t="s">
        <v>8</v>
      </c>
      <c r="C14" s="76"/>
      <c r="G14" s="22"/>
    </row>
    <row r="15" spans="1:8" ht="43.5" hidden="1">
      <c r="A15" s="76"/>
      <c r="B15" s="80" t="s">
        <v>9</v>
      </c>
      <c r="C15" s="76"/>
      <c r="G15" s="22"/>
    </row>
    <row r="16" spans="1:8" ht="43.5" hidden="1">
      <c r="A16" s="76"/>
      <c r="B16" s="80" t="s">
        <v>10</v>
      </c>
      <c r="C16" s="76"/>
      <c r="G16" s="22"/>
    </row>
    <row r="17" spans="1:7" ht="29" hidden="1">
      <c r="A17" s="76"/>
      <c r="B17" s="80" t="s">
        <v>11</v>
      </c>
      <c r="C17" s="76"/>
      <c r="G17" s="22"/>
    </row>
    <row r="18" spans="1:7" hidden="1">
      <c r="A18" s="76"/>
      <c r="B18" s="80" t="s">
        <v>12</v>
      </c>
      <c r="C18" s="76"/>
      <c r="G18" s="22"/>
    </row>
    <row r="19" spans="1:7" hidden="1">
      <c r="A19" s="76"/>
      <c r="B19" s="80" t="s">
        <v>13</v>
      </c>
      <c r="C19" s="76"/>
      <c r="G19" s="22"/>
    </row>
    <row r="20" spans="1:7" ht="43.5" hidden="1">
      <c r="A20" s="76"/>
      <c r="B20" s="80" t="s">
        <v>14</v>
      </c>
      <c r="C20" s="76"/>
      <c r="G20" s="22"/>
    </row>
    <row r="21" spans="1:7" ht="43.5" hidden="1">
      <c r="A21" s="76"/>
      <c r="B21" s="80" t="s">
        <v>15</v>
      </c>
      <c r="C21" s="76"/>
      <c r="G21" s="22"/>
    </row>
    <row r="22" spans="1:7" ht="29" hidden="1">
      <c r="A22" s="76"/>
      <c r="B22" s="80" t="s">
        <v>16</v>
      </c>
      <c r="C22" s="76"/>
      <c r="G22" s="22"/>
    </row>
    <row r="23" spans="1:7" hidden="1">
      <c r="A23" s="76"/>
      <c r="B23" s="80"/>
      <c r="C23" s="76"/>
      <c r="G23" s="22"/>
    </row>
    <row r="24" spans="1:7" ht="15" hidden="1" thickBot="1">
      <c r="A24" s="76"/>
      <c r="B24" s="78" t="s">
        <v>17</v>
      </c>
      <c r="C24" s="76"/>
      <c r="G24" s="22"/>
    </row>
    <row r="25" spans="1:7" hidden="1">
      <c r="A25" s="76"/>
      <c r="B25" s="80" t="s">
        <v>18</v>
      </c>
      <c r="C25" s="76"/>
      <c r="G25" s="22"/>
    </row>
    <row r="26" spans="1:7" ht="29" hidden="1">
      <c r="A26" s="76"/>
      <c r="B26" s="80" t="s">
        <v>19</v>
      </c>
      <c r="C26" s="76"/>
      <c r="G26" s="22"/>
    </row>
    <row r="27" spans="1:7" ht="29" hidden="1">
      <c r="A27" s="76"/>
      <c r="B27" s="80" t="s">
        <v>20</v>
      </c>
      <c r="C27" s="76"/>
      <c r="G27" s="22"/>
    </row>
    <row r="28" spans="1:7" hidden="1">
      <c r="A28" s="76"/>
      <c r="B28" s="80"/>
      <c r="C28" s="76"/>
      <c r="G28" s="22"/>
    </row>
    <row r="29" spans="1:7" ht="15" hidden="1" thickBot="1">
      <c r="A29" s="76"/>
      <c r="B29" s="78" t="s">
        <v>21</v>
      </c>
      <c r="C29" s="76"/>
      <c r="G29" s="22"/>
    </row>
    <row r="30" spans="1:7" ht="58" hidden="1">
      <c r="A30" s="76"/>
      <c r="B30" s="79" t="s">
        <v>22</v>
      </c>
      <c r="C30" s="76"/>
      <c r="G30" s="22"/>
    </row>
    <row r="31" spans="1:7" ht="29" hidden="1">
      <c r="A31" s="76"/>
      <c r="B31" s="80" t="s">
        <v>23</v>
      </c>
      <c r="C31" s="76"/>
      <c r="G31" s="22"/>
    </row>
    <row r="32" spans="1:7" hidden="1">
      <c r="A32" s="76"/>
      <c r="B32" s="80" t="s">
        <v>24</v>
      </c>
      <c r="C32" s="76"/>
      <c r="G32" s="22"/>
    </row>
    <row r="33" spans="1:7" hidden="1">
      <c r="A33" s="76"/>
      <c r="B33" s="80" t="s">
        <v>25</v>
      </c>
      <c r="C33" s="76"/>
      <c r="G33" s="22"/>
    </row>
    <row r="34" spans="1:7" ht="29" hidden="1">
      <c r="A34" s="76"/>
      <c r="B34" s="80" t="s">
        <v>26</v>
      </c>
      <c r="C34" s="76"/>
      <c r="G34" s="22"/>
    </row>
    <row r="35" spans="1:7" ht="29" hidden="1">
      <c r="A35" s="76"/>
      <c r="B35" s="80" t="s">
        <v>27</v>
      </c>
      <c r="C35" s="76"/>
      <c r="G35" s="22"/>
    </row>
    <row r="36" spans="1:7" hidden="1">
      <c r="A36" s="76"/>
      <c r="B36" s="80"/>
      <c r="C36" s="76"/>
      <c r="G36" s="22"/>
    </row>
    <row r="37" spans="1:7" ht="15" hidden="1" thickBot="1">
      <c r="A37" s="76"/>
      <c r="B37" s="78" t="s">
        <v>28</v>
      </c>
      <c r="C37" s="76"/>
      <c r="G37" s="22"/>
    </row>
    <row r="38" spans="1:7" ht="43.5" hidden="1">
      <c r="A38" s="76"/>
      <c r="B38" s="80" t="s">
        <v>29</v>
      </c>
      <c r="C38" s="76"/>
      <c r="G38" s="22"/>
    </row>
    <row r="39" spans="1:7" hidden="1">
      <c r="A39" s="76"/>
      <c r="B39" s="80"/>
      <c r="C39" s="76"/>
      <c r="G39" s="22"/>
    </row>
    <row r="40" spans="1:7" ht="29.5" hidden="1" thickBot="1">
      <c r="A40" s="76"/>
      <c r="B40" s="78" t="s">
        <v>30</v>
      </c>
      <c r="C40" s="76"/>
      <c r="G40" s="22"/>
    </row>
    <row r="41" spans="1:7" ht="102" hidden="1" thickBot="1">
      <c r="A41" s="76"/>
      <c r="B41" s="81" t="s">
        <v>31</v>
      </c>
      <c r="C41" s="76"/>
      <c r="G41" s="22"/>
    </row>
  </sheetData>
  <sheetProtection algorithmName="SHA-512" hashValue="GFx5oe3tbIQ0lzRc3gvNpIcIphK4gKbxor/gx2oNAuUPY5mkqCEd84doqHnY8mwxpe1Y2TFxgjVVgGuHSFTYkA==" saltValue="cDTfcOFyTWi/JLxeUlxvmw==" spinCount="100000" sheet="1" selectLockedCells="1" selectUnlockedCells="1"/>
  <mergeCells count="5">
    <mergeCell ref="B4:D4"/>
    <mergeCell ref="B6:D6"/>
    <mergeCell ref="B7:D7"/>
    <mergeCell ref="B9:D9"/>
    <mergeCell ref="G6:G9"/>
  </mergeCells>
  <pageMargins left="0.70866141732283472" right="0.70866141732283472" top="0.74803149606299213" bottom="0.74803149606299213" header="0.31496062992125984" footer="0.31496062992125984"/>
  <pageSetup paperSize="9" scale="71" orientation="portrait" r:id="rId1"/>
  <headerFooter>
    <oddHeader>&amp;C&amp;F</oddHeader>
    <oddFooter>&amp;LVersion 1.0 / Centre de compétences Fritic &amp;C&amp;A&amp;RImprimé le &amp;D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62C1-9FFA-4F37-8A3F-61E821BC932B}">
  <sheetPr>
    <pageSetUpPr fitToPage="1"/>
  </sheetPr>
  <dimension ref="A1:AW114"/>
  <sheetViews>
    <sheetView showGridLines="0" showRowColHeaders="0" zoomScale="85" zoomScaleNormal="85" workbookViewId="0">
      <selection activeCell="B4" sqref="B4:E4"/>
    </sheetView>
  </sheetViews>
  <sheetFormatPr baseColWidth="10" defaultColWidth="11.26953125" defaultRowHeight="14.5"/>
  <cols>
    <col min="1" max="1" width="5.7265625" customWidth="1"/>
    <col min="2" max="2" width="65.81640625" customWidth="1"/>
    <col min="3" max="3" width="14" style="26" customWidth="1"/>
    <col min="4" max="4" width="21.26953125" style="26" customWidth="1"/>
    <col min="5" max="5" width="21.26953125" customWidth="1"/>
    <col min="6" max="6" width="4.1796875" customWidth="1"/>
    <col min="7" max="7" width="21.26953125" style="97" hidden="1" customWidth="1"/>
    <col min="8" max="8" width="8.26953125" style="101" hidden="1" customWidth="1"/>
    <col min="9" max="9" width="23.81640625" hidden="1" customWidth="1"/>
    <col min="10" max="10" width="20.26953125" hidden="1" customWidth="1"/>
    <col min="11" max="11" width="19.81640625" customWidth="1"/>
    <col min="12" max="16" width="13.81640625" customWidth="1"/>
    <col min="17" max="18" width="15.26953125" customWidth="1"/>
    <col min="19" max="19" width="11.26953125" customWidth="1"/>
    <col min="40" max="40" width="9.7265625" customWidth="1"/>
    <col min="41" max="41" width="24.26953125" customWidth="1"/>
    <col min="42" max="42" width="16.26953125" customWidth="1"/>
    <col min="43" max="47" width="13.81640625" customWidth="1"/>
    <col min="48" max="49" width="15.26953125" customWidth="1"/>
    <col min="50" max="50" width="13.81640625" bestFit="1" customWidth="1"/>
  </cols>
  <sheetData>
    <row r="1" spans="1:13" s="39" customFormat="1" ht="66" customHeight="1">
      <c r="C1" s="40"/>
      <c r="D1" s="40"/>
      <c r="H1" s="40"/>
    </row>
    <row r="2" spans="1:13" s="34" customFormat="1" ht="57" customHeight="1">
      <c r="B2" s="38" t="s">
        <v>32</v>
      </c>
      <c r="C2" s="35"/>
      <c r="D2" s="36"/>
      <c r="H2" s="36"/>
    </row>
    <row r="3" spans="1:13" s="37" customFormat="1" ht="17.25" customHeight="1">
      <c r="A3" s="50"/>
      <c r="B3" s="50"/>
      <c r="C3" s="50"/>
      <c r="D3" s="50"/>
      <c r="E3" s="41"/>
      <c r="F3" s="41"/>
      <c r="G3" s="41"/>
      <c r="H3" s="102"/>
      <c r="I3" s="41"/>
      <c r="J3" s="50"/>
    </row>
    <row r="4" spans="1:13" ht="30" customHeight="1">
      <c r="A4" s="50"/>
      <c r="B4" s="153" t="s">
        <v>33</v>
      </c>
      <c r="C4" s="153"/>
      <c r="D4" s="153"/>
      <c r="E4" s="153"/>
      <c r="F4" s="30"/>
      <c r="G4" s="30"/>
      <c r="H4" s="103"/>
      <c r="I4" s="30"/>
      <c r="J4" s="50"/>
    </row>
    <row r="5" spans="1:13">
      <c r="A5" s="50"/>
      <c r="B5" s="50"/>
      <c r="C5" s="50"/>
      <c r="D5" s="50"/>
      <c r="E5" s="25"/>
      <c r="F5" s="25"/>
      <c r="G5" s="25"/>
      <c r="H5" s="29"/>
      <c r="I5" s="25"/>
      <c r="J5" s="50"/>
    </row>
    <row r="6" spans="1:13">
      <c r="A6" s="50"/>
      <c r="B6" s="51" t="s">
        <v>34</v>
      </c>
      <c r="C6" s="84">
        <v>1</v>
      </c>
      <c r="D6" s="50"/>
      <c r="E6" s="50"/>
      <c r="F6" s="50"/>
      <c r="J6" s="167" t="s">
        <v>35</v>
      </c>
    </row>
    <row r="7" spans="1:13" ht="19" customHeight="1">
      <c r="A7" s="50"/>
      <c r="B7" s="51" t="s">
        <v>36</v>
      </c>
      <c r="C7" s="84">
        <v>1</v>
      </c>
      <c r="D7" s="50"/>
      <c r="E7" s="50"/>
      <c r="F7" s="50"/>
      <c r="J7" s="167"/>
    </row>
    <row r="8" spans="1:13">
      <c r="A8" s="50"/>
      <c r="B8" s="50"/>
      <c r="C8" s="50"/>
      <c r="D8" s="50"/>
      <c r="E8" s="50"/>
      <c r="F8" s="50"/>
      <c r="J8" s="167"/>
    </row>
    <row r="9" spans="1:13">
      <c r="A9" s="50"/>
      <c r="B9" s="51" t="s">
        <v>37</v>
      </c>
      <c r="C9" s="84">
        <v>1</v>
      </c>
      <c r="D9" s="50"/>
      <c r="E9" s="50"/>
      <c r="F9" s="50"/>
      <c r="J9" s="167"/>
    </row>
    <row r="10" spans="1:13">
      <c r="A10" s="50"/>
      <c r="B10" s="51" t="s">
        <v>38</v>
      </c>
      <c r="C10" s="84">
        <v>1</v>
      </c>
      <c r="D10" s="50"/>
      <c r="E10" s="50"/>
      <c r="F10" s="50"/>
      <c r="J10" s="167"/>
    </row>
    <row r="11" spans="1:13">
      <c r="A11" s="50"/>
      <c r="B11" s="52" t="s">
        <v>39</v>
      </c>
      <c r="C11" s="53">
        <f>C9+C10</f>
        <v>2</v>
      </c>
      <c r="D11" s="50"/>
      <c r="E11" s="50"/>
      <c r="F11" s="50"/>
      <c r="J11" s="167"/>
    </row>
    <row r="12" spans="1:13">
      <c r="A12" s="50"/>
      <c r="B12" s="51"/>
      <c r="C12" s="54"/>
      <c r="D12" s="50"/>
      <c r="E12" s="50"/>
      <c r="F12" s="50"/>
      <c r="J12" s="167"/>
    </row>
    <row r="13" spans="1:13" ht="15" customHeight="1">
      <c r="A13" s="50"/>
      <c r="B13" s="147" t="s">
        <v>40</v>
      </c>
      <c r="C13" s="133"/>
      <c r="D13" s="170" t="s">
        <v>41</v>
      </c>
      <c r="E13" s="171"/>
      <c r="F13" s="50"/>
      <c r="G13" s="98"/>
      <c r="H13" s="98"/>
      <c r="J13" s="167"/>
      <c r="M13" s="33"/>
    </row>
    <row r="14" spans="1:13" ht="24" customHeight="1">
      <c r="A14" s="55"/>
      <c r="B14" s="168"/>
      <c r="C14" s="134"/>
      <c r="D14" s="172"/>
      <c r="E14" s="173"/>
      <c r="F14" s="50"/>
      <c r="G14" s="27" t="s">
        <v>42</v>
      </c>
      <c r="H14" s="104"/>
      <c r="I14" s="27" t="s">
        <v>43</v>
      </c>
    </row>
    <row r="15" spans="1:13">
      <c r="A15" s="55"/>
      <c r="B15" s="169"/>
      <c r="C15" s="86" t="s">
        <v>44</v>
      </c>
      <c r="D15" s="87" t="s">
        <v>45</v>
      </c>
      <c r="E15" s="88" t="s">
        <v>46</v>
      </c>
      <c r="F15" s="50"/>
      <c r="G15" s="99"/>
      <c r="H15" s="99"/>
      <c r="I15" s="28" t="s">
        <v>47</v>
      </c>
      <c r="J15" t="s">
        <v>48</v>
      </c>
    </row>
    <row r="16" spans="1:13" ht="4" customHeight="1">
      <c r="A16" s="55"/>
      <c r="B16" s="56"/>
      <c r="C16" s="85"/>
      <c r="D16" s="89"/>
      <c r="E16" s="90"/>
      <c r="F16" s="50"/>
      <c r="G16" s="99"/>
      <c r="H16" s="99"/>
      <c r="I16" s="28"/>
    </row>
    <row r="17" spans="1:10" ht="16" customHeight="1">
      <c r="A17" s="55"/>
      <c r="B17" s="138" t="s">
        <v>49</v>
      </c>
      <c r="C17" s="118"/>
      <c r="D17" s="119"/>
      <c r="E17" s="120"/>
      <c r="F17" s="50"/>
      <c r="G17" s="100"/>
      <c r="H17" s="105"/>
      <c r="I17" s="25"/>
    </row>
    <row r="18" spans="1:10" ht="16" customHeight="1">
      <c r="A18" s="55"/>
      <c r="B18" s="45" t="s">
        <v>50</v>
      </c>
      <c r="C18" s="127">
        <f>TotalSalles</f>
        <v>2</v>
      </c>
      <c r="D18" s="116">
        <v>0</v>
      </c>
      <c r="E18" s="117">
        <f>$C$11-D18</f>
        <v>2</v>
      </c>
      <c r="F18" s="50" t="str">
        <f>IF(D18&gt;$C$11,"Attention-ERREUR DE CALCUL! Le nombre existant dépasse le Total des salles à équiper ","")</f>
        <v/>
      </c>
      <c r="G18" s="106">
        <f>E18*J18</f>
        <v>4000</v>
      </c>
      <c r="H18" s="107" t="s">
        <v>51</v>
      </c>
      <c r="I18" s="108">
        <f>SUM(D18:E18)*J18</f>
        <v>4000</v>
      </c>
      <c r="J18" s="109">
        <v>2000</v>
      </c>
    </row>
    <row r="19" spans="1:10" ht="16" customHeight="1">
      <c r="A19" s="55"/>
      <c r="B19" s="45" t="s">
        <v>52</v>
      </c>
      <c r="C19" s="128">
        <f>TotalSalles</f>
        <v>2</v>
      </c>
      <c r="D19" s="94">
        <v>0</v>
      </c>
      <c r="E19" s="95">
        <f>C11-D19</f>
        <v>2</v>
      </c>
      <c r="F19" s="50" t="str">
        <f>IF(D19&gt;$C$11,"Attention-ERREUR DE CALCUL! Le nombre existant dépasse le Total des salles à équiper ","")</f>
        <v/>
      </c>
      <c r="G19" s="106">
        <f>E19*J19</f>
        <v>2000</v>
      </c>
      <c r="H19" s="107" t="s">
        <v>51</v>
      </c>
      <c r="I19" s="108">
        <f>SUM(D19:E19)*J19</f>
        <v>2000</v>
      </c>
      <c r="J19" s="109">
        <v>1000</v>
      </c>
    </row>
    <row r="20" spans="1:10" ht="16" customHeight="1">
      <c r="A20" s="55"/>
      <c r="B20" s="46" t="s">
        <v>53</v>
      </c>
      <c r="C20" s="130">
        <f>Nb_Bat</f>
        <v>1</v>
      </c>
      <c r="D20" s="174">
        <f>C20</f>
        <v>1</v>
      </c>
      <c r="E20" s="175"/>
      <c r="F20" s="50"/>
      <c r="G20" s="101"/>
      <c r="H20" s="101" t="s">
        <v>54</v>
      </c>
      <c r="I20" s="108">
        <f>D20*J20</f>
        <v>500</v>
      </c>
      <c r="J20" s="109">
        <v>500</v>
      </c>
    </row>
    <row r="21" spans="1:10" ht="16" customHeight="1">
      <c r="A21" s="55"/>
      <c r="B21" s="46" t="s">
        <v>55</v>
      </c>
      <c r="C21" s="130">
        <f>TotalSalles</f>
        <v>2</v>
      </c>
      <c r="D21" s="94">
        <v>0</v>
      </c>
      <c r="E21" s="95">
        <f>C11-D21</f>
        <v>2</v>
      </c>
      <c r="F21" s="50" t="str">
        <f>IF(D21&gt;$C$11,"Attention-ERREUR DE CALCUL! Le nombre existant dépasse le Total des salles à équiper ","")</f>
        <v/>
      </c>
      <c r="G21" s="108">
        <f>E21*J21</f>
        <v>1000</v>
      </c>
      <c r="H21" s="110" t="s">
        <v>51</v>
      </c>
      <c r="I21" s="108">
        <f>SUM(D21:E21)*J21</f>
        <v>1000</v>
      </c>
      <c r="J21" s="109">
        <v>500</v>
      </c>
    </row>
    <row r="22" spans="1:10" ht="16" customHeight="1">
      <c r="A22" s="55"/>
      <c r="B22" s="46" t="s">
        <v>56</v>
      </c>
      <c r="C22" s="130">
        <f>TotalEtages</f>
        <v>1</v>
      </c>
      <c r="D22" s="94">
        <v>0</v>
      </c>
      <c r="E22" s="96">
        <f>(C7-D22)</f>
        <v>1</v>
      </c>
      <c r="F22" s="50" t="str">
        <f>IF(D22&gt;$C$11,"Attention-ERREUR DE CALCUL! Le nombre existant dépasse le Total des salles à équiper ","")</f>
        <v/>
      </c>
      <c r="G22" s="108">
        <f>E22*0.5*J22</f>
        <v>1250</v>
      </c>
      <c r="H22" s="110" t="s">
        <v>51</v>
      </c>
      <c r="I22" s="108">
        <f>SUM(D22:E22)*J22</f>
        <v>2500</v>
      </c>
      <c r="J22" s="109">
        <v>2500</v>
      </c>
    </row>
    <row r="23" spans="1:10" ht="16" customHeight="1">
      <c r="A23" s="55"/>
      <c r="B23" s="46" t="s">
        <v>57</v>
      </c>
      <c r="C23" s="130">
        <f>TotalEtages</f>
        <v>1</v>
      </c>
      <c r="D23" s="94">
        <v>0</v>
      </c>
      <c r="E23" s="95">
        <f>C7-D23</f>
        <v>1</v>
      </c>
      <c r="F23" s="50" t="str">
        <f>IF(D23&gt;$C$11,"Attention-ERREUR DE CALCUL! Le nombre existant dépasse le Total des salles à équiper ","")</f>
        <v/>
      </c>
      <c r="G23" s="111">
        <f>E23*J23</f>
        <v>1000</v>
      </c>
      <c r="H23" s="112" t="s">
        <v>51</v>
      </c>
      <c r="I23" s="108">
        <f>SUM(D23:E23)*J23</f>
        <v>1000</v>
      </c>
      <c r="J23" s="109">
        <v>1000</v>
      </c>
    </row>
    <row r="24" spans="1:10" ht="16" customHeight="1">
      <c r="A24" s="55"/>
      <c r="B24" s="46" t="s">
        <v>58</v>
      </c>
      <c r="C24" s="130">
        <f>Nb_Bat</f>
        <v>1</v>
      </c>
      <c r="D24" s="94">
        <v>0</v>
      </c>
      <c r="E24" s="96">
        <f>C6-D24</f>
        <v>1</v>
      </c>
      <c r="F24" s="50" t="str">
        <f>IF(D24&gt;$C$11,"Attention-ERREUR DE CALCUL! Le nombre existant dépasse le Total des salles à équiper ","")</f>
        <v/>
      </c>
      <c r="G24" s="111">
        <f>E24*J24</f>
        <v>750</v>
      </c>
      <c r="H24" s="112" t="s">
        <v>51</v>
      </c>
      <c r="I24" s="108">
        <f>SUM(D24:E24)*J24</f>
        <v>750</v>
      </c>
      <c r="J24" s="109">
        <v>750</v>
      </c>
    </row>
    <row r="25" spans="1:10" ht="16" customHeight="1">
      <c r="A25" s="55"/>
      <c r="B25" s="46" t="s">
        <v>59</v>
      </c>
      <c r="C25" s="130">
        <f>Nb_Bat</f>
        <v>1</v>
      </c>
      <c r="D25" s="174">
        <f>C25</f>
        <v>1</v>
      </c>
      <c r="E25" s="175"/>
      <c r="F25" s="50"/>
      <c r="G25" s="101"/>
      <c r="H25" s="101" t="s">
        <v>54</v>
      </c>
      <c r="I25" s="111">
        <f>D25*J25+(D25-1)*22</f>
        <v>360</v>
      </c>
      <c r="J25" s="145">
        <f>(30*12)</f>
        <v>360</v>
      </c>
    </row>
    <row r="26" spans="1:10" ht="16" customHeight="1">
      <c r="A26" s="55"/>
      <c r="B26" s="46" t="s">
        <v>60</v>
      </c>
      <c r="C26" s="135">
        <f>TotalEtages</f>
        <v>1</v>
      </c>
      <c r="D26" s="177">
        <f>C26</f>
        <v>1</v>
      </c>
      <c r="E26" s="178"/>
      <c r="F26" s="50"/>
      <c r="G26" s="101"/>
      <c r="H26" s="101" t="s">
        <v>54</v>
      </c>
      <c r="I26" s="111">
        <f>D26*J26</f>
        <v>500</v>
      </c>
      <c r="J26" s="109">
        <v>500</v>
      </c>
    </row>
    <row r="27" spans="1:10" ht="16" customHeight="1">
      <c r="A27" s="55"/>
      <c r="B27" s="138" t="s">
        <v>61</v>
      </c>
      <c r="C27" s="118"/>
      <c r="D27" s="119"/>
      <c r="E27" s="120"/>
      <c r="F27" s="50"/>
      <c r="G27" s="100"/>
      <c r="H27" s="105"/>
      <c r="I27" s="114"/>
      <c r="J27" s="114"/>
    </row>
    <row r="28" spans="1:10" ht="16" customHeight="1">
      <c r="A28" s="55"/>
      <c r="B28" s="47" t="s">
        <v>62</v>
      </c>
      <c r="C28" s="129">
        <f>TotalSalles</f>
        <v>2</v>
      </c>
      <c r="D28" s="92">
        <v>0</v>
      </c>
      <c r="E28" s="93">
        <f>$C$11-D28</f>
        <v>2</v>
      </c>
      <c r="F28" s="50" t="str">
        <f>IF(D28&gt;$C$11,"Attention-ERREUR DE CALCUL! Le nombre existant dépasse le Total des salles à équiper ","")</f>
        <v/>
      </c>
      <c r="G28" s="108">
        <f>E28*J28</f>
        <v>1200</v>
      </c>
      <c r="H28" s="110" t="s">
        <v>51</v>
      </c>
      <c r="J28" s="144">
        <v>600</v>
      </c>
    </row>
    <row r="29" spans="1:10" ht="16" customHeight="1">
      <c r="A29" s="55"/>
      <c r="B29" s="47" t="s">
        <v>63</v>
      </c>
      <c r="C29" s="130">
        <f>ROUNDUP(TotalSalles/3,0)</f>
        <v>1</v>
      </c>
      <c r="D29" s="94">
        <v>0</v>
      </c>
      <c r="E29" s="95">
        <f>ROUNDUP($C$11/3,0)-D29</f>
        <v>1</v>
      </c>
      <c r="F29" s="50" t="str">
        <f>IF(ROUNDUP($C$11/3,0)&lt;D29,"Attention-ERREUR DE CALCUL! Le nombre existant dépasse le Total des salles à équiper ","")</f>
        <v/>
      </c>
      <c r="G29" s="108">
        <f>E29*J29</f>
        <v>700</v>
      </c>
      <c r="H29" s="110" t="s">
        <v>51</v>
      </c>
      <c r="J29" s="115">
        <v>700</v>
      </c>
    </row>
    <row r="30" spans="1:10" ht="16" customHeight="1">
      <c r="A30" s="55"/>
      <c r="B30" s="46" t="s">
        <v>64</v>
      </c>
      <c r="C30" s="136">
        <f>TotalSalles</f>
        <v>2</v>
      </c>
      <c r="D30" s="125">
        <v>0</v>
      </c>
      <c r="E30" s="126">
        <f>$C$11-D30</f>
        <v>2</v>
      </c>
      <c r="F30" s="50" t="str">
        <f>IF(D30&gt;$C$9,"Attention-ERREUR DE CALCUL! Le nombre existant dépasse le Total des salles à équiper ","")</f>
        <v/>
      </c>
      <c r="G30" s="108">
        <f>E30*J30</f>
        <v>1000</v>
      </c>
      <c r="H30" s="110" t="s">
        <v>51</v>
      </c>
      <c r="J30" s="115">
        <v>500</v>
      </c>
    </row>
    <row r="31" spans="1:10" ht="16" customHeight="1">
      <c r="A31" s="55"/>
      <c r="B31" s="139" t="s">
        <v>65</v>
      </c>
      <c r="C31" s="124"/>
      <c r="D31" s="119"/>
      <c r="E31" s="91"/>
      <c r="F31" s="50"/>
      <c r="G31" s="100"/>
      <c r="H31" s="105"/>
    </row>
    <row r="32" spans="1:10" ht="16" customHeight="1">
      <c r="A32" s="55"/>
      <c r="B32" s="48" t="s">
        <v>66</v>
      </c>
      <c r="C32" s="137">
        <f t="shared" ref="C32:C37" si="0">TotalSalles</f>
        <v>2</v>
      </c>
      <c r="D32" s="92">
        <v>0</v>
      </c>
      <c r="E32" s="93">
        <f>$C$11-D32</f>
        <v>2</v>
      </c>
      <c r="F32" s="50" t="str">
        <f t="shared" ref="F32:F37" si="1">IF(D32&gt;$C$11,"Attention-ERREUR DE CALCUL! Le nombre existant dépasse le Total des salles à équiper ","")</f>
        <v/>
      </c>
      <c r="G32" s="108">
        <f>E32*'Récapitulatif financier'!B20</f>
        <v>10000</v>
      </c>
      <c r="H32" s="110" t="s">
        <v>51</v>
      </c>
      <c r="I32" s="108">
        <f>SUM(D32:E32)*'Récapitulatif financier'!B20</f>
        <v>10000</v>
      </c>
      <c r="J32" s="109">
        <v>5000</v>
      </c>
    </row>
    <row r="33" spans="1:10" ht="16" customHeight="1">
      <c r="A33" s="55"/>
      <c r="B33" s="47" t="s">
        <v>67</v>
      </c>
      <c r="C33" s="130">
        <f t="shared" si="0"/>
        <v>2</v>
      </c>
      <c r="D33" s="94">
        <v>0</v>
      </c>
      <c r="E33" s="95">
        <f>$C$11-D33</f>
        <v>2</v>
      </c>
      <c r="F33" s="50" t="str">
        <f t="shared" si="1"/>
        <v/>
      </c>
      <c r="G33" s="108">
        <f>E33*J33</f>
        <v>1000</v>
      </c>
      <c r="H33" s="110" t="s">
        <v>51</v>
      </c>
      <c r="I33" s="108">
        <f>SUM(D33:E33)*J33</f>
        <v>1000</v>
      </c>
      <c r="J33" s="109">
        <v>500</v>
      </c>
    </row>
    <row r="34" spans="1:10" ht="16" customHeight="1">
      <c r="A34" s="55"/>
      <c r="B34" s="47" t="s">
        <v>68</v>
      </c>
      <c r="C34" s="130">
        <f t="shared" si="0"/>
        <v>2</v>
      </c>
      <c r="D34" s="94">
        <v>0</v>
      </c>
      <c r="E34" s="95">
        <f t="shared" ref="E34:E37" si="2">$C$11-D34</f>
        <v>2</v>
      </c>
      <c r="F34" s="50" t="str">
        <f t="shared" si="1"/>
        <v/>
      </c>
      <c r="G34" s="108">
        <f>E34*J34</f>
        <v>1400</v>
      </c>
      <c r="H34" s="110" t="s">
        <v>51</v>
      </c>
      <c r="I34" s="108">
        <f>SUM(D34:E34)*J34</f>
        <v>1400</v>
      </c>
      <c r="J34" s="109">
        <v>700</v>
      </c>
    </row>
    <row r="35" spans="1:10" ht="16" customHeight="1">
      <c r="A35" s="55"/>
      <c r="B35" s="47" t="s">
        <v>69</v>
      </c>
      <c r="C35" s="130">
        <f t="shared" si="0"/>
        <v>2</v>
      </c>
      <c r="D35" s="94">
        <v>0</v>
      </c>
      <c r="E35" s="95">
        <f t="shared" si="2"/>
        <v>2</v>
      </c>
      <c r="F35" s="50" t="str">
        <f t="shared" si="1"/>
        <v/>
      </c>
      <c r="G35" s="108">
        <f>E35*J35</f>
        <v>400</v>
      </c>
      <c r="H35" s="110" t="s">
        <v>51</v>
      </c>
      <c r="I35" s="108">
        <f>SUM(D35:E35)*J35</f>
        <v>400</v>
      </c>
      <c r="J35" s="109">
        <v>200</v>
      </c>
    </row>
    <row r="36" spans="1:10" ht="16" customHeight="1">
      <c r="A36" s="55"/>
      <c r="B36" s="47" t="s">
        <v>70</v>
      </c>
      <c r="C36" s="130">
        <f t="shared" si="0"/>
        <v>2</v>
      </c>
      <c r="D36" s="94">
        <v>0</v>
      </c>
      <c r="E36" s="95">
        <f t="shared" si="2"/>
        <v>2</v>
      </c>
      <c r="F36" s="50" t="str">
        <f t="shared" si="1"/>
        <v/>
      </c>
      <c r="G36" s="108">
        <f>E36*J36</f>
        <v>600</v>
      </c>
      <c r="H36" s="110" t="s">
        <v>51</v>
      </c>
      <c r="I36" s="108">
        <f>SUM(D36:E36)*J36</f>
        <v>600</v>
      </c>
      <c r="J36" s="109">
        <v>300</v>
      </c>
    </row>
    <row r="37" spans="1:10" ht="16" customHeight="1">
      <c r="A37" s="55"/>
      <c r="B37" s="47" t="s">
        <v>71</v>
      </c>
      <c r="C37" s="130">
        <f t="shared" si="0"/>
        <v>2</v>
      </c>
      <c r="D37" s="94">
        <v>0</v>
      </c>
      <c r="E37" s="95">
        <f t="shared" si="2"/>
        <v>2</v>
      </c>
      <c r="F37" s="50" t="str">
        <f t="shared" si="1"/>
        <v/>
      </c>
      <c r="G37" s="108">
        <f>E37*J37</f>
        <v>2308</v>
      </c>
      <c r="H37" s="110" t="s">
        <v>51</v>
      </c>
      <c r="I37" s="108">
        <f>SUM(D37:E37)*J37</f>
        <v>2308</v>
      </c>
      <c r="J37" s="109">
        <v>1154</v>
      </c>
    </row>
    <row r="38" spans="1:10" ht="16" customHeight="1">
      <c r="A38" s="55"/>
      <c r="B38" s="138" t="s">
        <v>72</v>
      </c>
      <c r="C38" s="121"/>
      <c r="D38" s="122"/>
      <c r="E38" s="123"/>
      <c r="F38" s="50"/>
      <c r="G38" s="100"/>
      <c r="H38" s="105"/>
    </row>
    <row r="39" spans="1:10" ht="16" customHeight="1">
      <c r="A39" s="55"/>
      <c r="B39" s="49" t="s">
        <v>73</v>
      </c>
      <c r="C39" s="131">
        <f>Nb_Bat</f>
        <v>1</v>
      </c>
      <c r="D39" s="179">
        <f>C39</f>
        <v>1</v>
      </c>
      <c r="E39" s="180"/>
      <c r="F39" s="50"/>
      <c r="G39" s="101"/>
      <c r="H39" s="101" t="s">
        <v>54</v>
      </c>
      <c r="I39" s="108">
        <f>D39*J39</f>
        <v>3200</v>
      </c>
      <c r="J39" s="145">
        <v>3200</v>
      </c>
    </row>
    <row r="40" spans="1:10" ht="16" customHeight="1">
      <c r="A40" s="50"/>
      <c r="B40" s="82"/>
      <c r="C40" s="132"/>
      <c r="D40" s="176"/>
      <c r="E40" s="176"/>
      <c r="F40" s="50"/>
      <c r="I40" s="108"/>
      <c r="J40" s="113"/>
    </row>
    <row r="41" spans="1:10">
      <c r="A41" s="50"/>
      <c r="B41" s="50"/>
      <c r="C41" s="53"/>
      <c r="D41" s="53"/>
      <c r="E41" s="53"/>
      <c r="F41" s="50"/>
      <c r="G41" s="101"/>
    </row>
    <row r="42" spans="1:10">
      <c r="A42" s="50"/>
      <c r="B42" s="166" t="s">
        <v>74</v>
      </c>
      <c r="C42" s="166"/>
      <c r="D42" s="31">
        <f>SUM(G18:G40)</f>
        <v>28608</v>
      </c>
      <c r="E42" s="53"/>
      <c r="F42" s="50"/>
      <c r="G42" s="101"/>
    </row>
    <row r="43" spans="1:10">
      <c r="A43" s="25"/>
      <c r="B43" s="166" t="s">
        <v>75</v>
      </c>
      <c r="C43" s="166"/>
      <c r="D43" s="31">
        <f>SUMIF(H18:H40,"U",I18:I40)</f>
        <v>26958</v>
      </c>
      <c r="E43" s="53"/>
      <c r="F43" s="50"/>
    </row>
    <row r="44" spans="1:10">
      <c r="A44" s="25"/>
      <c r="B44" s="166" t="s">
        <v>76</v>
      </c>
      <c r="C44" s="166"/>
      <c r="D44" s="31">
        <f>SUMIF(H18:H40,"A",I18:I40)</f>
        <v>4560</v>
      </c>
      <c r="E44" s="53"/>
      <c r="F44" s="50"/>
    </row>
    <row r="45" spans="1:10">
      <c r="A45" s="25"/>
      <c r="B45" s="166" t="s">
        <v>77</v>
      </c>
      <c r="C45" s="166"/>
      <c r="D45" s="31">
        <f>D44+D43</f>
        <v>31518</v>
      </c>
      <c r="E45" s="53"/>
      <c r="F45" s="50"/>
    </row>
    <row r="46" spans="1:10">
      <c r="A46" s="25"/>
      <c r="B46" s="25"/>
      <c r="C46" s="29"/>
      <c r="D46" s="32"/>
      <c r="E46" s="53"/>
      <c r="F46" s="50"/>
    </row>
    <row r="47" spans="1:10">
      <c r="A47" s="25"/>
      <c r="B47" s="166" t="s">
        <v>78</v>
      </c>
      <c r="C47" s="166"/>
      <c r="D47" s="31">
        <f>D44/TotalSalles</f>
        <v>2280</v>
      </c>
      <c r="E47" s="53"/>
      <c r="F47" s="50"/>
    </row>
    <row r="48" spans="1:10">
      <c r="A48" s="25"/>
      <c r="B48" s="166" t="s">
        <v>79</v>
      </c>
      <c r="C48" s="166"/>
      <c r="D48" s="31">
        <f>SUM(D43:D44)/TotalSalles</f>
        <v>15759</v>
      </c>
      <c r="E48" s="53"/>
      <c r="F48" s="50"/>
    </row>
    <row r="49" spans="1:49">
      <c r="A49" s="25"/>
      <c r="B49" s="25"/>
      <c r="C49" s="29"/>
      <c r="D49" s="29"/>
      <c r="E49" s="53"/>
      <c r="F49" s="50"/>
    </row>
    <row r="50" spans="1:49" ht="35.25" customHeight="1">
      <c r="A50" s="50"/>
      <c r="B50" s="50"/>
      <c r="C50" s="53"/>
      <c r="D50" s="53"/>
      <c r="E50" s="50"/>
      <c r="F50" s="50"/>
    </row>
    <row r="51" spans="1:49">
      <c r="A51" s="50"/>
      <c r="B51" s="50"/>
      <c r="C51" s="53"/>
      <c r="D51" s="53"/>
      <c r="E51" s="50"/>
      <c r="F51" s="50"/>
    </row>
    <row r="52" spans="1:49" ht="18.5">
      <c r="A52" s="50"/>
      <c r="B52" s="50"/>
      <c r="C52" s="53"/>
      <c r="D52" s="53"/>
      <c r="E52" s="50"/>
      <c r="F52" s="50"/>
      <c r="AO52" s="62"/>
      <c r="AP52" s="154" t="s">
        <v>80</v>
      </c>
      <c r="AQ52" s="155"/>
      <c r="AR52" s="155"/>
      <c r="AS52" s="155"/>
      <c r="AT52" s="155"/>
      <c r="AU52" s="155"/>
      <c r="AV52" s="155"/>
      <c r="AW52" s="156"/>
    </row>
    <row r="53" spans="1:49">
      <c r="A53" s="50"/>
      <c r="B53" s="50"/>
      <c r="C53" s="53"/>
      <c r="D53" s="53"/>
      <c r="E53" s="50"/>
      <c r="F53" s="50"/>
      <c r="AO53" s="83"/>
      <c r="AP53" s="157" t="s">
        <v>81</v>
      </c>
      <c r="AQ53" s="158"/>
      <c r="AR53" s="158"/>
      <c r="AS53" s="158"/>
      <c r="AT53" s="158"/>
      <c r="AU53" s="158"/>
      <c r="AV53" s="158"/>
      <c r="AW53" s="159"/>
    </row>
    <row r="54" spans="1:49">
      <c r="A54" s="50"/>
      <c r="B54" s="50"/>
      <c r="C54" s="53"/>
      <c r="D54" s="53"/>
      <c r="E54" s="50"/>
      <c r="F54" s="50"/>
      <c r="AO54" s="83"/>
      <c r="AP54" s="62">
        <v>2024</v>
      </c>
      <c r="AQ54" s="57">
        <v>2025</v>
      </c>
      <c r="AR54" s="57">
        <v>2026</v>
      </c>
      <c r="AS54" s="57">
        <v>2027</v>
      </c>
      <c r="AT54" s="57">
        <v>2028</v>
      </c>
      <c r="AU54" s="57">
        <v>2029</v>
      </c>
      <c r="AV54" s="57">
        <v>2030</v>
      </c>
      <c r="AW54" s="63">
        <v>2031</v>
      </c>
    </row>
    <row r="55" spans="1:49" ht="29">
      <c r="A55" s="50"/>
      <c r="B55" s="50"/>
      <c r="C55" s="53"/>
      <c r="D55" s="53"/>
      <c r="E55" s="50"/>
      <c r="F55" s="50"/>
      <c r="AO55" s="140"/>
      <c r="AP55" s="141" t="s">
        <v>82</v>
      </c>
      <c r="AQ55" s="142" t="s">
        <v>83</v>
      </c>
      <c r="AR55" s="142" t="s">
        <v>83</v>
      </c>
      <c r="AS55" s="142" t="s">
        <v>83</v>
      </c>
      <c r="AT55" s="142" t="s">
        <v>83</v>
      </c>
      <c r="AU55" s="142" t="s">
        <v>83</v>
      </c>
      <c r="AV55" s="142" t="s">
        <v>83</v>
      </c>
      <c r="AW55" s="143" t="s">
        <v>84</v>
      </c>
    </row>
    <row r="56" spans="1:49">
      <c r="A56" s="50"/>
      <c r="B56" s="50"/>
      <c r="C56" s="53"/>
      <c r="D56" s="53"/>
      <c r="E56" s="50"/>
      <c r="F56" s="50"/>
      <c r="AO56" s="64" t="s">
        <v>85</v>
      </c>
      <c r="AP56" s="64">
        <f>D42+D44</f>
        <v>33168</v>
      </c>
      <c r="AQ56" s="60">
        <f t="shared" ref="AQ56:AV56" si="3">$D44</f>
        <v>4560</v>
      </c>
      <c r="AR56" s="60">
        <f t="shared" si="3"/>
        <v>4560</v>
      </c>
      <c r="AS56" s="60">
        <f t="shared" si="3"/>
        <v>4560</v>
      </c>
      <c r="AT56" s="60">
        <f t="shared" si="3"/>
        <v>4560</v>
      </c>
      <c r="AU56" s="60">
        <f t="shared" si="3"/>
        <v>4560</v>
      </c>
      <c r="AV56" s="60">
        <f t="shared" si="3"/>
        <v>4560</v>
      </c>
      <c r="AW56" s="65">
        <f>$D45</f>
        <v>31518</v>
      </c>
    </row>
    <row r="57" spans="1:49">
      <c r="A57" s="50"/>
      <c r="B57" s="50"/>
      <c r="C57" s="53"/>
      <c r="D57" s="53"/>
      <c r="E57" s="50"/>
      <c r="F57" s="50"/>
    </row>
    <row r="58" spans="1:49" ht="17.5">
      <c r="A58" s="50"/>
      <c r="B58" s="50"/>
      <c r="C58" s="53"/>
      <c r="D58" s="53"/>
      <c r="E58" s="50"/>
      <c r="F58" s="50"/>
      <c r="AO58" s="62"/>
      <c r="AP58" s="160" t="s">
        <v>86</v>
      </c>
      <c r="AQ58" s="161"/>
      <c r="AR58" s="161"/>
      <c r="AS58" s="161"/>
      <c r="AT58" s="161"/>
      <c r="AU58" s="161"/>
      <c r="AV58" s="161"/>
      <c r="AW58" s="162"/>
    </row>
    <row r="59" spans="1:49">
      <c r="A59" s="50"/>
      <c r="B59" s="50"/>
      <c r="C59" s="53"/>
      <c r="D59" s="53"/>
      <c r="E59" s="50"/>
      <c r="F59" s="50"/>
      <c r="AO59" s="83"/>
      <c r="AP59" s="163" t="s">
        <v>87</v>
      </c>
      <c r="AQ59" s="164"/>
      <c r="AR59" s="164"/>
      <c r="AS59" s="164"/>
      <c r="AT59" s="164"/>
      <c r="AU59" s="164"/>
      <c r="AV59" s="164"/>
      <c r="AW59" s="165"/>
    </row>
    <row r="60" spans="1:49">
      <c r="A60" s="50"/>
      <c r="B60" s="50"/>
      <c r="C60" s="53"/>
      <c r="D60" s="53"/>
      <c r="E60" s="50"/>
      <c r="F60" s="50"/>
      <c r="AO60" s="83"/>
      <c r="AP60" s="62">
        <v>2024</v>
      </c>
      <c r="AQ60" s="57">
        <v>2025</v>
      </c>
      <c r="AR60" s="57">
        <v>2026</v>
      </c>
      <c r="AS60" s="57">
        <v>2027</v>
      </c>
      <c r="AT60" s="57">
        <v>2028</v>
      </c>
      <c r="AU60" s="57">
        <v>2029</v>
      </c>
      <c r="AV60" s="57">
        <v>2030</v>
      </c>
      <c r="AW60" s="63">
        <v>2031</v>
      </c>
    </row>
    <row r="61" spans="1:49" ht="29">
      <c r="A61" s="50"/>
      <c r="B61" s="50"/>
      <c r="C61" s="53"/>
      <c r="D61" s="53"/>
      <c r="E61" s="50"/>
      <c r="F61" s="50"/>
      <c r="AO61" s="61"/>
      <c r="AP61" s="141" t="s">
        <v>82</v>
      </c>
      <c r="AQ61" s="142" t="s">
        <v>83</v>
      </c>
      <c r="AR61" s="142" t="s">
        <v>83</v>
      </c>
      <c r="AS61" s="142" t="s">
        <v>83</v>
      </c>
      <c r="AT61" s="142" t="s">
        <v>83</v>
      </c>
      <c r="AU61" s="142" t="s">
        <v>83</v>
      </c>
      <c r="AV61" s="142" t="s">
        <v>83</v>
      </c>
      <c r="AW61" s="143" t="s">
        <v>84</v>
      </c>
    </row>
    <row r="62" spans="1:49">
      <c r="A62" s="50"/>
      <c r="B62" s="50"/>
      <c r="C62" s="53"/>
      <c r="D62" s="53"/>
      <c r="E62" s="50"/>
      <c r="F62" s="50"/>
      <c r="AO62" s="64" t="s">
        <v>85</v>
      </c>
      <c r="AP62" s="66">
        <f>(D42+D44)/TotalSalles</f>
        <v>16584</v>
      </c>
      <c r="AQ62" s="59">
        <f>$D47</f>
        <v>2280</v>
      </c>
      <c r="AR62" s="59">
        <f t="shared" ref="AR62:AV62" si="4">$D47</f>
        <v>2280</v>
      </c>
      <c r="AS62" s="58">
        <f t="shared" si="4"/>
        <v>2280</v>
      </c>
      <c r="AT62" s="66">
        <f t="shared" si="4"/>
        <v>2280</v>
      </c>
      <c r="AU62" s="59">
        <f t="shared" si="4"/>
        <v>2280</v>
      </c>
      <c r="AV62" s="59">
        <f t="shared" si="4"/>
        <v>2280</v>
      </c>
      <c r="AW62" s="59">
        <f>$D48</f>
        <v>15759</v>
      </c>
    </row>
    <row r="63" spans="1:49">
      <c r="A63" s="50"/>
      <c r="B63" s="50"/>
      <c r="C63" s="53"/>
      <c r="D63" s="53"/>
      <c r="E63" s="50"/>
      <c r="F63" s="50"/>
    </row>
    <row r="71" spans="3:12">
      <c r="C71"/>
      <c r="D71"/>
    </row>
    <row r="73" spans="3:12">
      <c r="L73" s="44"/>
    </row>
    <row r="111" spans="3:4">
      <c r="C111"/>
      <c r="D111"/>
    </row>
    <row r="112" spans="3:4">
      <c r="C112"/>
      <c r="D112"/>
    </row>
    <row r="113" spans="11:11">
      <c r="K113" s="42"/>
    </row>
    <row r="114" spans="11:11">
      <c r="K114" s="43"/>
    </row>
  </sheetData>
  <sheetProtection algorithmName="SHA-512" hashValue="50h8LVioaCgTQ/eZxlZvdD5r9pKgsV81u0cmpcPvBcvWEjMwLnQrYqUQv+KJr2h6Mvf/lM8R1EY0Ed7FObk9qQ==" saltValue="q4eRDMdcbcSY1xSePZTSQA==" spinCount="100000" sheet="1" selectLockedCells="1"/>
  <mergeCells count="19">
    <mergeCell ref="D26:E26"/>
    <mergeCell ref="D39:E39"/>
    <mergeCell ref="B42:C42"/>
    <mergeCell ref="B4:E4"/>
    <mergeCell ref="AP52:AW52"/>
    <mergeCell ref="AP53:AW53"/>
    <mergeCell ref="AP58:AW58"/>
    <mergeCell ref="AP59:AW59"/>
    <mergeCell ref="B48:C48"/>
    <mergeCell ref="J6:J13"/>
    <mergeCell ref="B47:C47"/>
    <mergeCell ref="B13:B15"/>
    <mergeCell ref="B43:C43"/>
    <mergeCell ref="B44:C44"/>
    <mergeCell ref="B45:C45"/>
    <mergeCell ref="D13:E14"/>
    <mergeCell ref="D20:E20"/>
    <mergeCell ref="D40:E40"/>
    <mergeCell ref="D25:E25"/>
  </mergeCells>
  <conditionalFormatting sqref="G18:J40">
    <cfRule type="expression" dxfId="1" priority="1">
      <formula>$H18="U"</formula>
    </cfRule>
    <cfRule type="expression" dxfId="0" priority="2" stopIfTrue="1">
      <formula>$H18="A"</formula>
    </cfRule>
  </conditionalFormatting>
  <dataValidations count="19">
    <dataValidation type="whole" operator="greaterThanOrEqual" allowBlank="1" showInputMessage="1" showErrorMessage="1" sqref="D25:D26 D39 E19:F19 E21:F24 D20" xr:uid="{1F90A018-5486-4FC8-AA91-8E7E021836C2}">
      <formula1>0</formula1>
    </dataValidation>
    <dataValidation type="decimal" operator="greaterThanOrEqual" showInputMessage="1" showErrorMessage="1" error="Erreur; le nombre de salles ou de bâtiments ou d'étages existants ne peut dépasser le nombre total" sqref="I39:I40 G18:G19 G28:G30 I32:I37 G32:G37 G21:G24 I18:I26" xr:uid="{FE8B2DBF-4F7E-4BB0-B936-ACE1E9FDB4E9}">
      <formula1>0</formula1>
    </dataValidation>
    <dataValidation type="whole" operator="greaterThanOrEqual" allowBlank="1" showInputMessage="1" showErrorMessage="1" promptTitle="Etage-s" prompt="Entrez un nombre supérieur ou égal à 1_x000a__x000a_Nombre d'étages cumulés de tous les bâtiments " sqref="C7" xr:uid="{632FE929-D098-493E-BDE8-7A79C3F12F22}">
      <formula1>1</formula1>
    </dataValidation>
    <dataValidation type="whole" operator="greaterThanOrEqual" allowBlank="1" showInputMessage="1" showErrorMessage="1" promptTitle="Nombre de salle-s" prompt="Entrez un nombre entier supérieur ou égal à 0" sqref="C9:C10" xr:uid="{90836962-AEA3-45A3-BE45-E133755AFDB7}">
      <formula1>0</formula1>
    </dataValidation>
    <dataValidation type="whole" operator="greaterThanOrEqual" allowBlank="1" showInputMessage="1" showErrorMessage="1" promptTitle="Bâtiment-s" prompt="Entrez un nombre supérieur ou égal à 1_x000a__x000a_1 bâtiment = une construction isolé ou plusieurs constructions constituant une entité de bâtiments interconnectés situés au même endroit " sqref="C6" xr:uid="{0C8E0CDC-D09D-439B-BE31-DB351C479CE3}">
      <formula1>1</formula1>
    </dataValidation>
    <dataValidation type="whole" operator="greaterThanOrEqual" allowBlank="1" showInputMessage="1" showErrorMessage="1" promptTitle="Equipement / infrastructure" prompt="Entrez un nombre supérieur ou égal à 0_x000a__x000a_1 équipement par salle" sqref="D37 D34:D35" xr:uid="{ED8E0D57-D274-421F-85D3-B8436EE5929E}">
      <formula1>0</formula1>
    </dataValidation>
    <dataValidation type="whole" operator="greaterThanOrEqual" allowBlank="1" showInputMessage="1" showErrorMessage="1" promptTitle="Equipement / infrastructure" prompt="Entrez un nombre supérieur ou égal à 0._x000a__x000a_1 équipement par salle : valises, chariots,armoires, etc., système de recharge pour les PC." sqref="D18" xr:uid="{60923A73-2959-4CFF-8A72-F18A239ED4CB}">
      <formula1>0</formula1>
    </dataValidation>
    <dataValidation type="whole" operator="greaterThanOrEqual" allowBlank="1" showInputMessage="1" showErrorMessage="1" promptTitle="Equipement / infrastructure" prompt="Entrez un nombre supérieur ou égal à 0_x000a__x000a_1 antenne WiFi par salle de classe" sqref="D19" xr:uid="{401574B9-3CA5-486B-9829-891D15BC585F}">
      <formula1>0</formula1>
    </dataValidation>
    <dataValidation type="whole" operator="greaterThanOrEqual" allowBlank="1" showInputMessage="1" showErrorMessage="1" promptTitle="Equipement / infrastructure" prompt="Entrez un nombre supérieur ou égal à 0_x000a__x000a_1 câble par salle à installer et tirer dans les gaines existantes de chaque salle" sqref="D21" xr:uid="{564A7DDA-519C-4378-9A72-6497516FC3B7}">
      <formula1>0</formula1>
    </dataValidation>
    <dataValidation type="whole" operator="greaterThanOrEqual" allowBlank="1" showInputMessage="1" showErrorMessage="1" promptTitle="Equipement / infrastructure" prompt="Entrez un nombre supérieur ou égal à 0_x000a__x000a_1 switch par étage" sqref="D22" xr:uid="{215E1ED2-57FB-4357-B315-5A75F3D0D8C4}">
      <formula1>0</formula1>
    </dataValidation>
    <dataValidation type="whole" operator="greaterThanOrEqual" allowBlank="1" showInputMessage="1" showErrorMessage="1" promptTitle="Equipement / infrastructure" prompt="Entrez un nombre supérieur ou égal à 0_x000a__x000a_1 armoire/switch" sqref="D23" xr:uid="{F2AA096D-D929-4087-9DDB-C8C4240F2565}">
      <formula1>0</formula1>
    </dataValidation>
    <dataValidation type="whole" operator="greaterThanOrEqual" allowBlank="1" showInputMessage="1" showErrorMessage="1" promptTitle="Equipement / infrastructure" prompt="Entrez un nombre supérieur ou égal à 0_x000a__x000a_1 accès / bâtiment; calcul sur la base du produit Smart Business Connect (SBC) de Swisscom avec rabais internet à l'école de Swisscom" sqref="D24" xr:uid="{EDAA9D19-5BB5-472F-8AB6-2AB7AE930F08}">
      <formula1>0</formula1>
    </dataValidation>
    <dataValidation type="whole" operator="greaterThanOrEqual" allowBlank="1" showInputMessage="1" showErrorMessage="1" promptTitle="Equipement / infrastructure" prompt="Entrez un nombre supérieur ou égal à 0_x000a__x000a_1 unité par salle (correspond à 2 prises 230 V)_x000a_" sqref="D28" xr:uid="{C270AACF-7CE0-4780-B3E5-DB7CB5E20A45}">
      <formula1>0</formula1>
    </dataValidation>
    <dataValidation type="whole" operator="greaterThanOrEqual" allowBlank="1" showInputMessage="1" showErrorMessage="1" promptTitle="Equipement / infrastructure" prompt="Entrez un nombre supérieur ou égal à 0_x000a__x000a_1 fusible pour 3 salles de classe (exigence min. 2500W) " sqref="D29" xr:uid="{085FB579-EA5B-4F04-B6FD-50778EA67131}">
      <formula1>0</formula1>
    </dataValidation>
    <dataValidation type="whole" operator="greaterThanOrEqual" allowBlank="1" showInputMessage="1" showErrorMessage="1" promptTitle="Equipement / infrastructure" prompt="Entrez un nombre supérieur ou égal à 0_x000a__x000a_1 unité par salle (câbles electriques à installer et tirer dans les canaux existants)" sqref="D30" xr:uid="{B1EB76CF-BB40-4FD1-BED3-8FD3AAB26250}">
      <formula1>0</formula1>
    </dataValidation>
    <dataValidation type="whole" operator="greaterThanOrEqual" allowBlank="1" showInputMessage="1" showErrorMessage="1" promptTitle="Equipement / infrastructure" prompt="Entrez un nombre supérieur ou égal à 0_x000a__x000a_1 équipement par salle avec connectivité sans fil (par exemple Miracast): beamer standard ou ultra courte focale; écran TV LED ou tableau blanc interactif; beamer interactif" sqref="D32" xr:uid="{4B45217B-F099-4395-8329-7F66F07FDACC}">
      <formula1>0</formula1>
    </dataValidation>
    <dataValidation type="whole" operator="greaterThanOrEqual" allowBlank="1" showInputMessage="1" showErrorMessage="1" promptTitle="Equipement / infrastructure" prompt="Entrez un nombre supérieur ou égal à 0_x000a__x000a_1 équipement par salle : barres son active (Bluetooth)" sqref="D33" xr:uid="{A42CA5C3-D23A-4AC9-B6B0-C5B53E2CD802}">
      <formula1>0</formula1>
    </dataValidation>
    <dataValidation type="whole" operator="greaterThanOrEqual" allowBlank="1" showInputMessage="1" showErrorMessage="1" promptTitle="Equipement / infrastructure" prompt="Entrez un nombre supérieur ou égal à 0_x000a__x000a_1 set par salle (adaptateur de câbles; câbles de réserve, casques audio avec micro, etc.)" sqref="D36" xr:uid="{756F6083-CCBC-4BF7-B215-C5B93BFFE3C9}">
      <formula1>0</formula1>
    </dataValidation>
    <dataValidation operator="greaterThanOrEqual" showInputMessage="1" showErrorMessage="1" error="Erreur; le nombre de salles ou de bâtiments ou d'étages existants ne peut dépasser le nombre total" sqref="H1:H1048576" xr:uid="{06523116-FC6B-E048-AB7F-E61EC1EA74EB}"/>
  </dataValidations>
  <pageMargins left="0.70866141732283505" right="0.70866141732283505" top="0.74803149606299202" bottom="0.74803149606299202" header="0.31496062992126" footer="0.31496062992126"/>
  <pageSetup paperSize="9" scale="64" orientation="portrait" r:id="rId1"/>
  <headerFooter>
    <oddHeader>&amp;C&amp;F</oddHeader>
    <oddFooter>&amp;LVersion 1.0 / Centre de compétences Fritic &amp;C&amp;A&amp;RImprimé le &amp;D</oddFooter>
  </headerFooter>
  <ignoredErrors>
    <ignoredError sqref="E29 C29 C20 I20 G22"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8FEBD-E32E-45C2-935F-5F48F01CB346}">
  <sheetPr>
    <pageSetUpPr fitToPage="1"/>
  </sheetPr>
  <dimension ref="A1:I37"/>
  <sheetViews>
    <sheetView zoomScale="160" zoomScaleNormal="160" workbookViewId="0">
      <selection activeCell="F12" sqref="F12"/>
    </sheetView>
  </sheetViews>
  <sheetFormatPr baseColWidth="10" defaultColWidth="11.26953125" defaultRowHeight="14.5"/>
  <cols>
    <col min="1" max="1" width="51.26953125" customWidth="1"/>
    <col min="2" max="2" width="16.26953125" bestFit="1" customWidth="1"/>
    <col min="3" max="3" width="13" bestFit="1" customWidth="1"/>
    <col min="4" max="4" width="15" bestFit="1" customWidth="1"/>
    <col min="5" max="5" width="13.26953125" bestFit="1" customWidth="1"/>
    <col min="6" max="6" width="64.26953125" style="3" customWidth="1"/>
    <col min="7" max="7" width="10.26953125" customWidth="1"/>
  </cols>
  <sheetData>
    <row r="1" spans="1:6">
      <c r="B1" s="1" t="s">
        <v>88</v>
      </c>
      <c r="C1" s="1"/>
      <c r="D1" s="2" t="s">
        <v>89</v>
      </c>
      <c r="E1" s="2"/>
      <c r="F1" s="3" t="s">
        <v>90</v>
      </c>
    </row>
    <row r="2" spans="1:6">
      <c r="A2" t="s">
        <v>91</v>
      </c>
      <c r="B2" s="1">
        <v>1820</v>
      </c>
      <c r="C2" s="4"/>
      <c r="D2" s="2">
        <v>279</v>
      </c>
      <c r="E2" s="5"/>
    </row>
    <row r="3" spans="1:6">
      <c r="B3" s="1" t="s">
        <v>92</v>
      </c>
      <c r="C3" s="1" t="s">
        <v>93</v>
      </c>
      <c r="D3" s="2" t="s">
        <v>92</v>
      </c>
      <c r="E3" s="2" t="s">
        <v>93</v>
      </c>
    </row>
    <row r="4" spans="1:6" ht="14.5" customHeight="1">
      <c r="A4" s="6" t="s">
        <v>6</v>
      </c>
      <c r="B4" s="7"/>
      <c r="C4" s="7"/>
      <c r="D4" s="7"/>
      <c r="E4" s="7"/>
      <c r="F4" s="8"/>
    </row>
    <row r="5" spans="1:6">
      <c r="A5" s="9" t="s">
        <v>50</v>
      </c>
      <c r="B5" s="10">
        <v>2000</v>
      </c>
      <c r="C5" s="10"/>
      <c r="D5" s="11"/>
      <c r="E5" s="10"/>
      <c r="F5" s="3" t="s">
        <v>94</v>
      </c>
    </row>
    <row r="6" spans="1:6">
      <c r="A6" s="9" t="s">
        <v>95</v>
      </c>
      <c r="B6" s="10">
        <v>750</v>
      </c>
      <c r="C6" s="10"/>
      <c r="D6" s="12"/>
      <c r="E6" s="12"/>
      <c r="F6" s="3" t="s">
        <v>96</v>
      </c>
    </row>
    <row r="7" spans="1:6">
      <c r="A7" s="9" t="s">
        <v>97</v>
      </c>
      <c r="B7" s="10">
        <v>250</v>
      </c>
      <c r="C7" s="10"/>
      <c r="D7" s="10"/>
      <c r="E7" s="10"/>
    </row>
    <row r="8" spans="1:6">
      <c r="A8" s="9" t="s">
        <v>98</v>
      </c>
      <c r="B8" s="10">
        <v>500</v>
      </c>
      <c r="C8" s="10"/>
      <c r="D8" s="10"/>
      <c r="E8" s="10"/>
    </row>
    <row r="9" spans="1:6" ht="17.25" customHeight="1">
      <c r="A9" s="9" t="s">
        <v>99</v>
      </c>
      <c r="B9" s="10"/>
      <c r="C9" s="10"/>
      <c r="D9" s="10">
        <v>2500</v>
      </c>
      <c r="E9" s="10"/>
      <c r="F9" s="3" t="s">
        <v>100</v>
      </c>
    </row>
    <row r="10" spans="1:6">
      <c r="A10" s="9" t="s">
        <v>101</v>
      </c>
      <c r="B10" s="10"/>
      <c r="C10" s="10"/>
      <c r="D10" s="10">
        <v>1000</v>
      </c>
      <c r="E10" s="10"/>
    </row>
    <row r="11" spans="1:6">
      <c r="A11" s="9" t="s">
        <v>102</v>
      </c>
      <c r="B11" s="10"/>
      <c r="C11" s="10"/>
      <c r="D11" s="10">
        <v>750</v>
      </c>
      <c r="E11" s="10"/>
      <c r="F11" s="3" t="s">
        <v>103</v>
      </c>
    </row>
    <row r="12" spans="1:6">
      <c r="A12" s="9" t="s">
        <v>104</v>
      </c>
      <c r="B12" s="10"/>
      <c r="C12" s="10"/>
      <c r="D12" s="10"/>
      <c r="E12" s="146">
        <f>(30*12)</f>
        <v>360</v>
      </c>
      <c r="F12" s="3" t="s">
        <v>105</v>
      </c>
    </row>
    <row r="13" spans="1:6">
      <c r="A13" s="9" t="s">
        <v>106</v>
      </c>
      <c r="B13" s="10"/>
      <c r="C13" s="10">
        <v>500</v>
      </c>
      <c r="D13" s="10"/>
      <c r="E13" s="10"/>
      <c r="F13" s="3" t="s">
        <v>107</v>
      </c>
    </row>
    <row r="14" spans="1:6">
      <c r="A14" s="9" t="s">
        <v>108</v>
      </c>
      <c r="B14" s="10"/>
      <c r="C14" s="10"/>
      <c r="D14" s="10"/>
      <c r="E14" s="10">
        <v>500</v>
      </c>
      <c r="F14" s="3" t="s">
        <v>109</v>
      </c>
    </row>
    <row r="15" spans="1:6">
      <c r="A15" s="6" t="s">
        <v>110</v>
      </c>
      <c r="B15" s="13"/>
      <c r="C15" s="13"/>
      <c r="D15" s="13"/>
      <c r="E15" s="13"/>
      <c r="F15" s="8"/>
    </row>
    <row r="16" spans="1:6">
      <c r="A16" t="s">
        <v>111</v>
      </c>
      <c r="B16" s="14">
        <v>300</v>
      </c>
      <c r="C16" s="14"/>
      <c r="D16" s="10"/>
      <c r="E16" s="10"/>
      <c r="F16" s="15" t="s">
        <v>112</v>
      </c>
    </row>
    <row r="17" spans="1:9">
      <c r="A17" t="s">
        <v>113</v>
      </c>
      <c r="B17" s="14">
        <v>700</v>
      </c>
      <c r="C17" s="14"/>
      <c r="D17" s="16"/>
      <c r="E17" s="10"/>
      <c r="F17" s="15" t="s">
        <v>114</v>
      </c>
    </row>
    <row r="18" spans="1:9">
      <c r="A18" s="9" t="s">
        <v>115</v>
      </c>
      <c r="B18" s="14">
        <v>500</v>
      </c>
      <c r="C18" s="14"/>
      <c r="D18" s="10"/>
      <c r="E18" s="10"/>
    </row>
    <row r="19" spans="1:9">
      <c r="A19" s="6" t="s">
        <v>21</v>
      </c>
      <c r="B19" s="13"/>
      <c r="C19" s="13"/>
      <c r="D19" s="17"/>
      <c r="E19" s="17"/>
      <c r="F19" s="8"/>
    </row>
    <row r="20" spans="1:9">
      <c r="A20" t="s">
        <v>116</v>
      </c>
      <c r="B20" s="10">
        <v>5000</v>
      </c>
      <c r="C20" s="10"/>
      <c r="D20" s="10"/>
      <c r="E20" s="10"/>
      <c r="F20" s="3" t="s">
        <v>117</v>
      </c>
    </row>
    <row r="21" spans="1:9">
      <c r="A21" t="s">
        <v>118</v>
      </c>
      <c r="B21" s="10">
        <v>500</v>
      </c>
      <c r="C21" s="10"/>
      <c r="D21" s="10"/>
      <c r="E21" s="10"/>
      <c r="F21" s="3" t="s">
        <v>119</v>
      </c>
    </row>
    <row r="22" spans="1:9">
      <c r="A22" t="s">
        <v>120</v>
      </c>
      <c r="B22" s="10">
        <v>700</v>
      </c>
      <c r="C22" s="10"/>
      <c r="D22" s="10"/>
      <c r="E22" s="10"/>
      <c r="F22" s="3" t="s">
        <v>121</v>
      </c>
    </row>
    <row r="23" spans="1:9">
      <c r="A23" t="s">
        <v>69</v>
      </c>
      <c r="B23" s="10">
        <v>200</v>
      </c>
      <c r="C23" s="10"/>
      <c r="D23" s="10"/>
      <c r="E23" s="10"/>
      <c r="F23" s="15" t="s">
        <v>122</v>
      </c>
    </row>
    <row r="24" spans="1:9">
      <c r="A24" t="s">
        <v>123</v>
      </c>
      <c r="B24" s="10">
        <v>300</v>
      </c>
      <c r="C24" s="10"/>
      <c r="D24" s="10"/>
      <c r="E24" s="10"/>
    </row>
    <row r="25" spans="1:9">
      <c r="A25" t="s">
        <v>71</v>
      </c>
      <c r="B25" s="10">
        <v>1154</v>
      </c>
      <c r="C25" s="10"/>
      <c r="D25" s="10"/>
      <c r="E25" s="10"/>
      <c r="F25" s="3" t="s">
        <v>124</v>
      </c>
    </row>
    <row r="26" spans="1:9">
      <c r="A26" s="6" t="s">
        <v>28</v>
      </c>
      <c r="B26" s="13"/>
      <c r="C26" s="13"/>
      <c r="D26" s="13"/>
      <c r="E26" s="13"/>
      <c r="F26" s="8"/>
      <c r="G26" t="s">
        <v>125</v>
      </c>
      <c r="H26" t="s">
        <v>126</v>
      </c>
      <c r="I26" t="s">
        <v>127</v>
      </c>
    </row>
    <row r="27" spans="1:9">
      <c r="A27" t="s">
        <v>128</v>
      </c>
      <c r="B27" s="18"/>
      <c r="C27" s="10"/>
      <c r="D27" s="10"/>
      <c r="E27" s="146">
        <v>3200</v>
      </c>
      <c r="F27" s="3" t="s">
        <v>129</v>
      </c>
      <c r="G27">
        <f>ROUNDUP(220*12*1.07,-1)</f>
        <v>2830</v>
      </c>
      <c r="H27">
        <f>ROUNDUP(280*12*1.07,-1)</f>
        <v>3600</v>
      </c>
      <c r="I27">
        <f>(G27+H27)/2</f>
        <v>3215</v>
      </c>
    </row>
    <row r="28" spans="1:9">
      <c r="A28" s="6" t="s">
        <v>130</v>
      </c>
      <c r="B28" s="13"/>
      <c r="C28" s="13"/>
      <c r="D28" s="13"/>
      <c r="E28" s="13"/>
      <c r="F28" s="8"/>
    </row>
    <row r="29" spans="1:9">
      <c r="A29" t="s">
        <v>131</v>
      </c>
      <c r="B29" s="10"/>
      <c r="C29" s="10"/>
      <c r="D29" s="10">
        <v>960</v>
      </c>
      <c r="E29" s="10"/>
      <c r="F29" s="3" t="s">
        <v>132</v>
      </c>
    </row>
    <row r="30" spans="1:9">
      <c r="A30" s="6" t="s">
        <v>133</v>
      </c>
      <c r="B30" s="13"/>
      <c r="C30" s="13"/>
      <c r="D30" s="13"/>
      <c r="E30" s="13"/>
      <c r="F30" s="8"/>
    </row>
    <row r="31" spans="1:9">
      <c r="A31" t="s">
        <v>134</v>
      </c>
      <c r="B31" s="10">
        <f>SUM(B5:B25)</f>
        <v>12854</v>
      </c>
      <c r="C31" s="10">
        <f>SUM(C5:C25)</f>
        <v>500</v>
      </c>
      <c r="D31" s="10"/>
      <c r="E31" s="10"/>
    </row>
    <row r="32" spans="1:9">
      <c r="A32" t="s">
        <v>135</v>
      </c>
      <c r="B32" s="10"/>
      <c r="C32" s="10"/>
      <c r="D32" s="10">
        <f>SUM(D5:D29)</f>
        <v>5210</v>
      </c>
      <c r="E32" s="10">
        <f>SUM(E5:E29)</f>
        <v>4060</v>
      </c>
    </row>
    <row r="33" spans="1:6">
      <c r="A33" s="19" t="s">
        <v>136</v>
      </c>
      <c r="B33" s="20">
        <f>B31*$B$2</f>
        <v>23394280</v>
      </c>
      <c r="C33" s="10">
        <f>C31*$B$2</f>
        <v>910000</v>
      </c>
      <c r="D33" s="20">
        <f>D32*$D$2</f>
        <v>1453590</v>
      </c>
      <c r="E33" s="10">
        <f>E32*$D$2</f>
        <v>1132740</v>
      </c>
      <c r="F33" s="3" t="s">
        <v>137</v>
      </c>
    </row>
    <row r="34" spans="1:6">
      <c r="A34" t="s">
        <v>138</v>
      </c>
      <c r="B34" s="10"/>
      <c r="C34" s="20">
        <f>5*C33</f>
        <v>4550000</v>
      </c>
      <c r="D34" s="10"/>
      <c r="E34" s="20">
        <f>5*E33</f>
        <v>5663700</v>
      </c>
    </row>
    <row r="35" spans="1:6">
      <c r="B35" s="21"/>
      <c r="C35" s="21"/>
      <c r="D35" s="21"/>
      <c r="E35" s="21"/>
    </row>
    <row r="36" spans="1:6">
      <c r="B36" s="21"/>
      <c r="C36" s="21"/>
      <c r="D36" s="21"/>
      <c r="E36" s="21"/>
    </row>
    <row r="37" spans="1:6">
      <c r="B37" s="21"/>
      <c r="C37" s="21"/>
      <c r="D37" s="21"/>
      <c r="E37" s="21"/>
    </row>
  </sheetData>
  <pageMargins left="0.7" right="0.7" top="0.75" bottom="0.75" header="0.3" footer="0.3"/>
  <pageSetup paperSize="9" scale="8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196fa9d-606b-48fb-b098-ef81019cdd90">
      <UserInfo>
        <DisplayName>Bex Thierry</DisplayName>
        <AccountId>384</AccountId>
        <AccountType/>
      </UserInfo>
      <UserInfo>
        <DisplayName>Froidevaux Philippe</DisplayName>
        <AccountId>14</AccountId>
        <AccountType/>
      </UserInfo>
      <UserInfo>
        <DisplayName>Bersier Christian</DisplayName>
        <AccountId>459</AccountId>
        <AccountType/>
      </UserInfo>
    </SharedWithUsers>
    <lcf76f155ced4ddcb4097134ff3c332f xmlns="bdc6ecf8-0eaa-4660-a888-9f415e2496e4">
      <Terms xmlns="http://schemas.microsoft.com/office/infopath/2007/PartnerControls"/>
    </lcf76f155ced4ddcb4097134ff3c332f>
    <TaxCatchAll xmlns="e196fa9d-606b-48fb-b098-ef81019cdd90" xsi:nil="true"/>
    <Teachers xmlns="bdc6ecf8-0eaa-4660-a888-9f415e2496e4">
      <UserInfo>
        <DisplayName/>
        <AccountId xsi:nil="true"/>
        <AccountType/>
      </UserInfo>
    </Teachers>
    <Student_Groups xmlns="bdc6ecf8-0eaa-4660-a888-9f415e2496e4">
      <UserInfo>
        <DisplayName/>
        <AccountId xsi:nil="true"/>
        <AccountType/>
      </UserInfo>
    </Student_Groups>
    <Distribution_Groups xmlns="bdc6ecf8-0eaa-4660-a888-9f415e2496e4" xsi:nil="true"/>
    <Self_Registration_Enabled xmlns="bdc6ecf8-0eaa-4660-a888-9f415e2496e4" xsi:nil="true"/>
    <TeamsChannelId xmlns="bdc6ecf8-0eaa-4660-a888-9f415e2496e4" xsi:nil="true"/>
    <Invited_Teachers xmlns="bdc6ecf8-0eaa-4660-a888-9f415e2496e4" xsi:nil="true"/>
    <IsNotebookLocked xmlns="bdc6ecf8-0eaa-4660-a888-9f415e2496e4" xsi:nil="true"/>
    <NotebookType xmlns="bdc6ecf8-0eaa-4660-a888-9f415e2496e4" xsi:nil="true"/>
    <Students xmlns="bdc6ecf8-0eaa-4660-a888-9f415e2496e4">
      <UserInfo>
        <DisplayName/>
        <AccountId xsi:nil="true"/>
        <AccountType/>
      </UserInfo>
    </Students>
    <Has_Teacher_Only_SectionGroup xmlns="bdc6ecf8-0eaa-4660-a888-9f415e2496e4" xsi:nil="true"/>
    <DefaultSectionNames xmlns="bdc6ecf8-0eaa-4660-a888-9f415e2496e4" xsi:nil="true"/>
    <Is_Collaboration_Space_Locked xmlns="bdc6ecf8-0eaa-4660-a888-9f415e2496e4" xsi:nil="true"/>
    <Teams_Channel_Section_Location xmlns="bdc6ecf8-0eaa-4660-a888-9f415e2496e4" xsi:nil="true"/>
    <FolderType xmlns="bdc6ecf8-0eaa-4660-a888-9f415e2496e4" xsi:nil="true"/>
    <CultureName xmlns="bdc6ecf8-0eaa-4660-a888-9f415e2496e4" xsi:nil="true"/>
    <Owner xmlns="bdc6ecf8-0eaa-4660-a888-9f415e2496e4">
      <UserInfo>
        <DisplayName/>
        <AccountId xsi:nil="true"/>
        <AccountType/>
      </UserInfo>
    </Owner>
    <LMS_Mappings xmlns="bdc6ecf8-0eaa-4660-a888-9f415e2496e4" xsi:nil="true"/>
    <Invited_Students xmlns="bdc6ecf8-0eaa-4660-a888-9f415e2496e4" xsi:nil="true"/>
    <Math_Settings xmlns="bdc6ecf8-0eaa-4660-a888-9f415e2496e4" xsi:nil="true"/>
    <Templates xmlns="bdc6ecf8-0eaa-4660-a888-9f415e2496e4" xsi:nil="true"/>
    <AppVersion xmlns="bdc6ecf8-0eaa-4660-a888-9f415e2496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8FBCADA357BE479BFD7C8908B66D3D" ma:contentTypeVersion="36" ma:contentTypeDescription="Crée un document." ma:contentTypeScope="" ma:versionID="6c4e785ca4665617c8f36f13fe9a13cc">
  <xsd:schema xmlns:xsd="http://www.w3.org/2001/XMLSchema" xmlns:xs="http://www.w3.org/2001/XMLSchema" xmlns:p="http://schemas.microsoft.com/office/2006/metadata/properties" xmlns:ns2="bdc6ecf8-0eaa-4660-a888-9f415e2496e4" xmlns:ns3="e196fa9d-606b-48fb-b098-ef81019cdd90" targetNamespace="http://schemas.microsoft.com/office/2006/metadata/properties" ma:root="true" ma:fieldsID="a01cd86e925d68dd22678ccdb08862a2" ns2:_="" ns3:_="">
    <xsd:import namespace="bdc6ecf8-0eaa-4660-a888-9f415e2496e4"/>
    <xsd:import namespace="e196fa9d-606b-48fb-b098-ef81019cdd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Teachers" minOccurs="0"/>
                <xsd:element ref="ns2:Students" minOccurs="0"/>
                <xsd:element ref="ns2:Student_Groups" minOccurs="0"/>
                <xsd:element ref="ns2:Distribution_Groups" minOccurs="0"/>
                <xsd:element ref="ns2:LMS_Mappings" minOccurs="0"/>
                <xsd:element ref="ns2:Invited_Teachers" minOccurs="0"/>
                <xsd:element ref="ns2:Invited_Students" minOccurs="0"/>
                <xsd:element ref="ns2:Self_Registration_Enabled" minOccurs="0"/>
                <xsd:element ref="ns2:Has_Teacher_Only_SectionGroup" minOccurs="0"/>
                <xsd:element ref="ns2:Is_Collaboration_Space_Locked" minOccurs="0"/>
                <xsd:element ref="ns2:IsNotebookLocked" minOccurs="0"/>
                <xsd:element ref="ns2:Teams_Channel_Section_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6ecf8-0eaa-4660-a888-9f415e2496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fbd933d8-63e4-4f7e-90f6-66429bb13b47" ma:termSetId="09814cd3-568e-fe90-9814-8d621ff8fb84" ma:anchorId="fba54fb3-c3e1-fe81-a776-ca4b69148c4d" ma:open="true" ma:isKeyword="false">
      <xsd:complexType>
        <xsd:sequence>
          <xsd:element ref="pc:Terms" minOccurs="0" maxOccurs="1"/>
        </xsd:sequence>
      </xsd:complexType>
    </xsd:element>
    <xsd:element name="NotebookType" ma:index="23" nillable="true" ma:displayName="Notebook Type" ma:internalName="NotebookType">
      <xsd:simpleType>
        <xsd:restriction base="dms:Text"/>
      </xsd:simpleType>
    </xsd:element>
    <xsd:element name="FolderType" ma:index="24" nillable="true" ma:displayName="Folder Type" ma:internalName="FolderType">
      <xsd:simpleType>
        <xsd:restriction base="dms:Text"/>
      </xsd:simpleType>
    </xsd:element>
    <xsd:element name="CultureName" ma:index="25" nillable="true" ma:displayName="Culture Name" ma:internalName="CultureName">
      <xsd:simpleType>
        <xsd:restriction base="dms:Text"/>
      </xsd:simpleType>
    </xsd:element>
    <xsd:element name="AppVersion" ma:index="26" nillable="true" ma:displayName="App Version" ma:internalName="AppVersion">
      <xsd:simpleType>
        <xsd:restriction base="dms:Text"/>
      </xsd:simpleType>
    </xsd:element>
    <xsd:element name="TeamsChannelId" ma:index="27" nillable="true" ma:displayName="Teams Channel Id" ma:internalName="TeamsChannelId">
      <xsd:simpleType>
        <xsd:restriction base="dms:Text"/>
      </xsd:simpleType>
    </xsd:element>
    <xsd:element name="Owner" ma:index="28"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9" nillable="true" ma:displayName="Math Settings" ma:internalName="Math_Settings">
      <xsd:simpleType>
        <xsd:restriction base="dms:Text"/>
      </xsd:simpleType>
    </xsd:element>
    <xsd:element name="DefaultSectionNames" ma:index="30" nillable="true" ma:displayName="Default Section Names" ma:internalName="DefaultSectionNames">
      <xsd:simpleType>
        <xsd:restriction base="dms:Note">
          <xsd:maxLength value="255"/>
        </xsd:restriction>
      </xsd:simpleType>
    </xsd:element>
    <xsd:element name="Templates" ma:index="31" nillable="true" ma:displayName="Templates" ma:internalName="Templates">
      <xsd:simpleType>
        <xsd:restriction base="dms:Note">
          <xsd:maxLength value="255"/>
        </xsd:restriction>
      </xsd:simpleType>
    </xsd:element>
    <xsd:element name="Teachers" ma:index="32"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33"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34"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5" nillable="true" ma:displayName="Distribution Groups" ma:internalName="Distribution_Groups">
      <xsd:simpleType>
        <xsd:restriction base="dms:Note">
          <xsd:maxLength value="255"/>
        </xsd:restriction>
      </xsd:simpleType>
    </xsd:element>
    <xsd:element name="LMS_Mappings" ma:index="36" nillable="true" ma:displayName="LMS Mappings" ma:internalName="LMS_Mappings">
      <xsd:simpleType>
        <xsd:restriction base="dms:Note">
          <xsd:maxLength value="255"/>
        </xsd:restriction>
      </xsd:simpleType>
    </xsd:element>
    <xsd:element name="Invited_Teachers" ma:index="37" nillable="true" ma:displayName="Invited Teachers" ma:internalName="Invited_Teachers">
      <xsd:simpleType>
        <xsd:restriction base="dms:Note">
          <xsd:maxLength value="255"/>
        </xsd:restriction>
      </xsd:simpleType>
    </xsd:element>
    <xsd:element name="Invited_Students" ma:index="38" nillable="true" ma:displayName="Invited Students" ma:internalName="Invited_Students">
      <xsd:simpleType>
        <xsd:restriction base="dms:Note">
          <xsd:maxLength value="255"/>
        </xsd:restriction>
      </xsd:simpleType>
    </xsd:element>
    <xsd:element name="Self_Registration_Enabled" ma:index="39" nillable="true" ma:displayName="Self Registration Enabled" ma:internalName="Self_Registration_Enabled">
      <xsd:simpleType>
        <xsd:restriction base="dms:Boolean"/>
      </xsd:simpleType>
    </xsd:element>
    <xsd:element name="Has_Teacher_Only_SectionGroup" ma:index="40" nillable="true" ma:displayName="Has Teacher Only SectionGroup" ma:internalName="Has_Teacher_Only_SectionGroup">
      <xsd:simpleType>
        <xsd:restriction base="dms:Boolean"/>
      </xsd:simpleType>
    </xsd:element>
    <xsd:element name="Is_Collaboration_Space_Locked" ma:index="41" nillable="true" ma:displayName="Is Collaboration Space Locked" ma:internalName="Is_Collaboration_Space_Locked">
      <xsd:simpleType>
        <xsd:restriction base="dms:Boolean"/>
      </xsd:simpleType>
    </xsd:element>
    <xsd:element name="IsNotebookLocked" ma:index="42" nillable="true" ma:displayName="Is Notebook Locked" ma:internalName="IsNotebookLocked">
      <xsd:simpleType>
        <xsd:restriction base="dms:Boolean"/>
      </xsd:simpleType>
    </xsd:element>
    <xsd:element name="Teams_Channel_Section_Location" ma:index="43" nillable="true" ma:displayName="Teams Channel Section Location" ma:internalName="Teams_Channel_Section_Loc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96fa9d-606b-48fb-b098-ef81019cdd90"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beec736c-672f-45af-89a6-defcc9eb5378}" ma:internalName="TaxCatchAll" ma:showField="CatchAllData" ma:web="e196fa9d-606b-48fb-b098-ef81019cdd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02C160-258C-41CB-B0C2-9B7A8AF1CBDA}">
  <ds:schemaRefs>
    <ds:schemaRef ds:uri="http://schemas.microsoft.com/office/2006/metadata/properties"/>
    <ds:schemaRef ds:uri="http://schemas.microsoft.com/office/infopath/2007/PartnerControls"/>
    <ds:schemaRef ds:uri="e196fa9d-606b-48fb-b098-ef81019cdd90"/>
    <ds:schemaRef ds:uri="bdc6ecf8-0eaa-4660-a888-9f415e2496e4"/>
  </ds:schemaRefs>
</ds:datastoreItem>
</file>

<file path=customXml/itemProps2.xml><?xml version="1.0" encoding="utf-8"?>
<ds:datastoreItem xmlns:ds="http://schemas.openxmlformats.org/officeDocument/2006/customXml" ds:itemID="{BB91B1BC-F9E2-49E2-8683-DF6C4F0F906E}">
  <ds:schemaRefs>
    <ds:schemaRef ds:uri="http://schemas.microsoft.com/sharepoint/v3/contenttype/forms"/>
  </ds:schemaRefs>
</ds:datastoreItem>
</file>

<file path=customXml/itemProps3.xml><?xml version="1.0" encoding="utf-8"?>
<ds:datastoreItem xmlns:ds="http://schemas.openxmlformats.org/officeDocument/2006/customXml" ds:itemID="{70EAFA54-349A-4299-B1D8-6306EE591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c6ecf8-0eaa-4660-a888-9f415e2496e4"/>
    <ds:schemaRef ds:uri="e196fa9d-606b-48fb-b098-ef81019cd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Description</vt:lpstr>
      <vt:lpstr>Calculateur</vt:lpstr>
      <vt:lpstr>Récapitulatif financier</vt:lpstr>
      <vt:lpstr>Nb_Bat</vt:lpstr>
      <vt:lpstr>Nb_Cla_Std</vt:lpstr>
      <vt:lpstr>TotalEtages</vt:lpstr>
      <vt:lpstr>TotalSalles</vt:lpstr>
      <vt:lpstr>Calculateur!Zone_d_impression</vt:lpstr>
      <vt:lpstr>Description!Zone_d_impression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Bersier Christian</dc:creator>
  <cp:keywords/>
  <dc:description/>
  <cp:lastModifiedBy>Labéguerie Marylène</cp:lastModifiedBy>
  <cp:revision/>
  <dcterms:created xsi:type="dcterms:W3CDTF">2021-09-15T07:40:49Z</dcterms:created>
  <dcterms:modified xsi:type="dcterms:W3CDTF">2023-08-29T13:44:14Z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0x0101000C8FBCADA357BE479BFD7C8908B66D3D</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