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55" yWindow="65521" windowWidth="12000" windowHeight="12450" tabRatio="756" activeTab="1"/>
  </bookViews>
  <sheets>
    <sheet name="Aide-Hilfe" sheetId="1" r:id="rId1"/>
    <sheet name="Apprenti-Lehrling" sheetId="2" r:id="rId2"/>
    <sheet name="08" sheetId="3" r:id="rId3"/>
    <sheet name="09" sheetId="4" r:id="rId4"/>
    <sheet name="10" sheetId="5" r:id="rId5"/>
    <sheet name="11" sheetId="6" r:id="rId6"/>
    <sheet name="12" sheetId="7" r:id="rId7"/>
    <sheet name="01" sheetId="8" r:id="rId8"/>
    <sheet name="02" sheetId="9" r:id="rId9"/>
    <sheet name="03" sheetId="10" r:id="rId10"/>
    <sheet name="04" sheetId="11" r:id="rId11"/>
    <sheet name="05" sheetId="12" r:id="rId12"/>
    <sheet name="06" sheetId="13" r:id="rId13"/>
    <sheet name="07" sheetId="14" r:id="rId14"/>
    <sheet name="08+" sheetId="15" r:id="rId15"/>
    <sheet name="Année-Jahr" sheetId="16" r:id="rId16"/>
    <sheet name="Texte" sheetId="17" state="hidden" r:id="rId17"/>
    <sheet name="Données de base-Grunddaten" sheetId="18" state="hidden" r:id="rId18"/>
  </sheets>
  <definedNames>
    <definedName name="DB_5Semaines">'Apprenti-Lehrling'!$D$13</definedName>
    <definedName name="DB_5SemainesPlus">'Apprenti-Lehrling'!$E$13</definedName>
    <definedName name="DB_Annee">'Apprenti-Lehrling'!$C$14</definedName>
    <definedName name="DB_AnneeApprentissage">'Apprenti-Lehrling'!$C$15</definedName>
    <definedName name="DB_Apprenti">'Apprenti-Lehrling'!$C$7</definedName>
    <definedName name="DB_ApprentiAdresse">'Apprenti-Lehrling'!$C$8</definedName>
    <definedName name="DB_ApprentiLieu">'Apprenti-Lehrling'!$C$9</definedName>
    <definedName name="DB_AVS">'Apprenti-Lehrling'!$C$10</definedName>
    <definedName name="DB_Categorie">'Données de base-Grunddaten'!$B$29:$E$37</definedName>
    <definedName name="DB_DateNaissance">'Apprenti-Lehrling'!$C$11</definedName>
    <definedName name="DB_DonneesDeBase">'Apprenti-Lehrling'!$I$23:$L$34</definedName>
    <definedName name="DB_Langue">'Apprenti-Lehrling'!$E$1</definedName>
    <definedName name="DB_ListeAnneeApprentissage">'Données de base-Grunddaten'!$B$21:$C$24</definedName>
    <definedName name="DB_ListeEffMoy">'Données de base-Grunddaten'!$B$16:$C$17</definedName>
    <definedName name="DB_ListeLangue">'Données de base-Grunddaten'!$B$5:$B$6</definedName>
    <definedName name="DB_ListeOuiNon">'Données de base-Grunddaten'!$B$10:$B$11</definedName>
    <definedName name="DB_Maitre">'Apprenti-Lehrling'!$C$3</definedName>
    <definedName name="DB_MaitreAdresse">'Apprenti-Lehrling'!$C$4</definedName>
    <definedName name="DB_MaitreLieu">'Apprenti-Lehrling'!$C$5</definedName>
    <definedName name="DB_Nombre">'Données de base-Grunddaten'!$B$42:$B$45</definedName>
    <definedName name="DB_ONBD">'Données de base-Grunddaten'!$D$10:$D$12</definedName>
    <definedName name="DB_ONBF">'Données de base-Grunddaten'!$C$10:$C$12</definedName>
    <definedName name="DB_SoumisAVS">'Apprenti-Lehrling'!$C$12</definedName>
    <definedName name="DB_VacSup">'Apprenti-Lehrling'!$C$13</definedName>
    <definedName name="Help_Code">'Aide-Hilfe'!$J$9:$J$16</definedName>
    <definedName name="Nb_Mois">'Apprenti-Lehrling'!$C$16</definedName>
    <definedName name="NJ_Bloc">'Apprenti-Lehrling'!$C$46</definedName>
    <definedName name="NJ_Conge">'Apprenti-Lehrling'!$C$47</definedName>
    <definedName name="NJ_CoursIE">'Apprenti-Lehrling'!$C$45</definedName>
    <definedName name="NJ_CoursProf">'Apprenti-Lehrling'!$C$44</definedName>
    <definedName name="NJ_Travail">'Apprenti-Lehrling'!$C$43</definedName>
    <definedName name="NJ_Vacances">'Apprenti-Lehrling'!$C$48</definedName>
    <definedName name="PN_Accident">'Apprenti-Lehrling'!$D$50</definedName>
    <definedName name="PN_Accident_Plus">'Apprenti-Lehrling'!$E$50</definedName>
    <definedName name="PN_Armee">'Apprenti-Lehrling'!$D$46</definedName>
    <definedName name="PN_Armee_Plus">'Apprenti-Lehrling'!$E$46</definedName>
    <definedName name="PN_Conge">'Apprenti-Lehrling'!$D$47</definedName>
    <definedName name="PN_Conge_Plus">'Apprenti-Lehrling'!$E$47</definedName>
    <definedName name="PN_CoursIE">'Apprenti-Lehrling'!$D$45</definedName>
    <definedName name="PN_CoursIE_Plus">'Apprenti-Lehrling'!$E$45</definedName>
    <definedName name="PN_CoursProf">'Apprenti-Lehrling'!$D$44</definedName>
    <definedName name="PN_CoursProf_Plus">'Apprenti-Lehrling'!$E$44</definedName>
    <definedName name="PN_Dejeuner">'Apprenti-Lehrling'!$C$33</definedName>
    <definedName name="PN_Dejeuner_Plus">'Apprenti-Lehrling'!$D$33</definedName>
    <definedName name="PN_DemiJour">'Apprenti-Lehrling'!$D$49</definedName>
    <definedName name="PN_DemiJour_Plus">'Apprenti-Lehrling'!$E$49</definedName>
    <definedName name="PN_Diner">'Apprenti-Lehrling'!$C$34</definedName>
    <definedName name="PN_Diner_Plus">'Apprenti-Lehrling'!$D$34</definedName>
    <definedName name="PN_EffMoy">'Apprenti-Lehrling'!$C$38</definedName>
    <definedName name="PN_Logis">'Apprenti-Lehrling'!$C$32</definedName>
    <definedName name="PN_Logis_Plus">'Apprenti-Lehrling'!$D$32</definedName>
    <definedName name="PN_LogisOuiNon">'Apprenti-Lehrling'!$D$38</definedName>
    <definedName name="PN_LoyerBloc">'Apprenti-Lehrling'!#REF!</definedName>
    <definedName name="PN_LoyerBloc_Plus">'Apprenti-Lehrling'!#REF!</definedName>
    <definedName name="PN_LoyerBlocAnnuel">'Apprenti-Lehrling'!#REF!</definedName>
    <definedName name="PN_Maladie">'Apprenti-Lehrling'!$D$51</definedName>
    <definedName name="PN_Maladie_Plus">'Apprenti-Lehrling'!$E$51</definedName>
    <definedName name="PN_SalMoyAout">'Apprenti-Lehrling'!$C$39</definedName>
    <definedName name="PN_SalMoyAoutPlus">'Apprenti-Lehrling'!$D$39</definedName>
    <definedName name="PN_Souper">'Apprenti-Lehrling'!$C$35</definedName>
    <definedName name="PN_Souper_Plus">'Apprenti-Lehrling'!$D$35</definedName>
    <definedName name="PN_Travail">'Apprenti-Lehrling'!$D$43</definedName>
    <definedName name="PN_Travail_Plus">'Apprenti-Lehrling'!$E$43</definedName>
    <definedName name="PN_Vacances">'Apprenti-Lehrling'!$D$48</definedName>
    <definedName name="PN_Vacances_Plus">'Apprenti-Lehrling'!$E$48</definedName>
    <definedName name="RS_AC">'Apprenti-Lehrling'!$C$57</definedName>
    <definedName name="RS_AC_Plus">'Apprenti-Lehrling'!$D$57</definedName>
    <definedName name="RS_ANP">'Apprenti-Lehrling'!$C$58</definedName>
    <definedName name="RS_ANP_Plus">'Apprenti-Lehrling'!$D$58</definedName>
    <definedName name="RS_AVS">'Apprenti-Lehrling'!$C$56</definedName>
    <definedName name="RS_AVS_Plus">'Apprenti-Lehrling'!$D$56</definedName>
    <definedName name="RS_MC">'Apprenti-Lehrling'!$C$59</definedName>
    <definedName name="RS_MC_Plus">'Apprenti-Lehrling'!$D$59</definedName>
    <definedName name="Sa_BaseAnnuel">'Apprenti-Lehrling'!$C$21</definedName>
    <definedName name="Sa_BaseAnnuelArrondi">'Apprenti-Lehrling'!$D$21</definedName>
    <definedName name="Sa_BaseMensuel">'Apprenti-Lehrling'!$C$22</definedName>
    <definedName name="Sa_BaseMensuelArrondi">'Apprenti-Lehrling'!$D$22</definedName>
    <definedName name="Sa_NatureAnnuel">'Apprenti-Lehrling'!$C$23</definedName>
    <definedName name="Sa_NatureAnnuelArrondi">'Apprenti-Lehrling'!$D$23</definedName>
    <definedName name="Sa_NatureMensuel">'Apprenti-Lehrling'!$C$24</definedName>
    <definedName name="Sa_NatureMensuelArrondi">'Apprenti-Lehrling'!$D$24</definedName>
    <definedName name="Sa_VersementMensuel">'Apprenti-Lehrling'!$C$25</definedName>
    <definedName name="Sa_VersementMensuelArrondi">'Apprenti-Lehrling'!$D$25</definedName>
    <definedName name="Tb_Traduction">'Texte'!$A$2:$C$197</definedName>
    <definedName name="_xlnm.Print_Area" localSheetId="7">'01'!$B$1:$Q$49</definedName>
    <definedName name="_xlnm.Print_Area" localSheetId="8">'02'!$B$1:$Q$49</definedName>
    <definedName name="_xlnm.Print_Area" localSheetId="9">'03'!$B$1:$Q$49</definedName>
    <definedName name="_xlnm.Print_Area" localSheetId="10">'04'!$B$1:$Q$49</definedName>
    <definedName name="_xlnm.Print_Area" localSheetId="11">'05'!$B$1:$Q$49</definedName>
    <definedName name="_xlnm.Print_Area" localSheetId="12">'06'!$B$1:$Q$49</definedName>
    <definedName name="_xlnm.Print_Area" localSheetId="13">'07'!$B$1:$Q$49</definedName>
    <definedName name="_xlnm.Print_Area" localSheetId="2">'08'!$B$1:$Q$50</definedName>
    <definedName name="_xlnm.Print_Area" localSheetId="14">'08+'!$B$1:$Q$49</definedName>
    <definedName name="_xlnm.Print_Area" localSheetId="3">'09'!$A$1:$Q$49</definedName>
    <definedName name="_xlnm.Print_Area" localSheetId="4">'10'!$B$1:$Q$49</definedName>
    <definedName name="_xlnm.Print_Area" localSheetId="5">'11'!$B$1:$Q$49</definedName>
    <definedName name="_xlnm.Print_Area" localSheetId="6">'12'!$B$1:$Q$49</definedName>
    <definedName name="_xlnm.Print_Area" localSheetId="0">'Aide-Hilfe'!$B$1:$Q$47</definedName>
    <definedName name="_xlnm.Print_Area" localSheetId="15">'Année-Jahr'!$B$1:$R$42</definedName>
    <definedName name="_xlnm.Print_Area" localSheetId="1">'Apprenti-Lehrling'!$B$1:$E$59</definedName>
  </definedNames>
  <calcPr fullCalcOnLoad="1"/>
</workbook>
</file>

<file path=xl/sharedStrings.xml><?xml version="1.0" encoding="utf-8"?>
<sst xmlns="http://schemas.openxmlformats.org/spreadsheetml/2006/main" count="580" uniqueCount="371">
  <si>
    <t>Salaire brut</t>
  </si>
  <si>
    <t>Logis</t>
  </si>
  <si>
    <t>Déjeuner</t>
  </si>
  <si>
    <t>Jours de congé</t>
  </si>
  <si>
    <t>Dîner</t>
  </si>
  <si>
    <t>Vacances</t>
  </si>
  <si>
    <t xml:space="preserve">Souper </t>
  </si>
  <si>
    <t>Cours interentreprises</t>
  </si>
  <si>
    <t>Adresse :</t>
  </si>
  <si>
    <t>NPA et Lieu :</t>
  </si>
  <si>
    <t>Nom et prénom du maître d'apprentissage :</t>
  </si>
  <si>
    <t>N° AVS :</t>
  </si>
  <si>
    <t>Date de naissance :</t>
  </si>
  <si>
    <t>Année d'apprentissage :</t>
  </si>
  <si>
    <t>Congé :</t>
  </si>
  <si>
    <t>Vacances :</t>
  </si>
  <si>
    <t>Cours professionnels :</t>
  </si>
  <si>
    <t>Cours interentreprises :</t>
  </si>
  <si>
    <t>Nb. Jours</t>
  </si>
  <si>
    <t>Prestations en nature</t>
  </si>
  <si>
    <t>Jours de travail :</t>
  </si>
  <si>
    <t>Année :</t>
  </si>
  <si>
    <t>Logis :</t>
  </si>
  <si>
    <t>Dîner :</t>
  </si>
  <si>
    <t>Déjeuner :</t>
  </si>
  <si>
    <t>Versement mensuel moyen :</t>
  </si>
  <si>
    <t>Salaire annuel en nature :</t>
  </si>
  <si>
    <t>Salaire mensuel en nature :</t>
  </si>
  <si>
    <t>Salaire annuel de base :</t>
  </si>
  <si>
    <t>Salaire mensuel de base :</t>
  </si>
  <si>
    <t>Cours prof.</t>
  </si>
  <si>
    <t>Cours IE</t>
  </si>
  <si>
    <t>Travail</t>
  </si>
  <si>
    <t>Total</t>
  </si>
  <si>
    <t>Agenda</t>
  </si>
  <si>
    <t>c</t>
  </si>
  <si>
    <t>cumul</t>
  </si>
  <si>
    <t>%</t>
  </si>
  <si>
    <t>Décompte salaire mensuel</t>
  </si>
  <si>
    <t xml:space="preserve">Apprenti : </t>
  </si>
  <si>
    <t xml:space="preserve">N° AVS : </t>
  </si>
  <si>
    <t>Données salariales</t>
  </si>
  <si>
    <t xml:space="preserve">Date de naissance : </t>
  </si>
  <si>
    <t>Retenues sur le salaire</t>
  </si>
  <si>
    <t>Cotisations AC :</t>
  </si>
  <si>
    <t>Cotisations AVS, AI, APG :</t>
  </si>
  <si>
    <t xml:space="preserve"> Accident non professionnel :</t>
  </si>
  <si>
    <t>Souper :</t>
  </si>
  <si>
    <t>Indemnité journalière en cas de  maladie :</t>
  </si>
  <si>
    <t>Part</t>
  </si>
  <si>
    <t>1/2</t>
  </si>
  <si>
    <t>Soumis à l'AVS depuis :</t>
  </si>
  <si>
    <t>*) Dès le 1er janvier de l'année des 18 ans de l'apprenti(e)</t>
  </si>
  <si>
    <t>A ajouter</t>
  </si>
  <si>
    <t>A déduire</t>
  </si>
  <si>
    <t>Frais et remboursement</t>
  </si>
  <si>
    <t xml:space="preserve">Salaire en nature effectif : </t>
  </si>
  <si>
    <t>Versement du mois</t>
  </si>
  <si>
    <t xml:space="preserve">Frais : </t>
  </si>
  <si>
    <t xml:space="preserve">Autre remboursement : </t>
  </si>
  <si>
    <t xml:space="preserve">Autre déduction : </t>
  </si>
  <si>
    <t xml:space="preserve">Cotisations AVS, AI, APG : </t>
  </si>
  <si>
    <t xml:space="preserve">Cotisations AC : </t>
  </si>
  <si>
    <t xml:space="preserve"> Accident non profes. : </t>
  </si>
  <si>
    <t xml:space="preserve">Indemnité journalière MC : </t>
  </si>
  <si>
    <t xml:space="preserve">Maître d'apprentissage : </t>
  </si>
  <si>
    <t xml:space="preserve">Lieu : </t>
  </si>
  <si>
    <t>Congés</t>
  </si>
  <si>
    <t xml:space="preserve">Remarques : </t>
  </si>
  <si>
    <t xml:space="preserve">Apprenti(e) : </t>
  </si>
  <si>
    <t>Décompte des jours</t>
  </si>
  <si>
    <t>Mois</t>
  </si>
  <si>
    <t>Frais et remb.</t>
  </si>
  <si>
    <t>Versement effectif</t>
  </si>
  <si>
    <t>Différence</t>
  </si>
  <si>
    <t>Totaux</t>
  </si>
  <si>
    <t>Valeurs prévues</t>
  </si>
  <si>
    <t>Différences</t>
  </si>
  <si>
    <t>Cotisations AVS, AI, APG</t>
  </si>
  <si>
    <t>Cotisations AC</t>
  </si>
  <si>
    <t xml:space="preserve"> Accident non profes.</t>
  </si>
  <si>
    <t>Indemnité journalière MC</t>
  </si>
  <si>
    <t>Autre déduction</t>
  </si>
  <si>
    <t>Salaire en nature effectif</t>
  </si>
  <si>
    <t>Frais</t>
  </si>
  <si>
    <t>Autre remboursement</t>
  </si>
  <si>
    <t xml:space="preserve">Salaire net : </t>
  </si>
  <si>
    <t xml:space="preserve">Salaire brut : </t>
  </si>
  <si>
    <t>(1, 2, 3a ou 3b)</t>
  </si>
  <si>
    <t>Salaire brut total</t>
  </si>
  <si>
    <t>Prime, bonus, gratification</t>
  </si>
  <si>
    <t>Salaire</t>
  </si>
  <si>
    <t>Salaire annuel de base minimum :</t>
  </si>
  <si>
    <t>D ou F</t>
  </si>
  <si>
    <t>Salaire et nombre de jours</t>
  </si>
  <si>
    <t>Salaire annuel de base (minimum)</t>
  </si>
  <si>
    <t>Français</t>
  </si>
  <si>
    <t>N°</t>
  </si>
  <si>
    <t>Deutsch</t>
  </si>
  <si>
    <t>D oder F</t>
  </si>
  <si>
    <t>Langue :</t>
  </si>
  <si>
    <t>Prestations en nature par jour</t>
  </si>
  <si>
    <t>Nom et prénom de l'apprenti(e) :</t>
  </si>
  <si>
    <t xml:space="preserve">Mois : </t>
  </si>
  <si>
    <t>Apprenti(e)</t>
  </si>
  <si>
    <t>Déductions</t>
  </si>
  <si>
    <t xml:space="preserve">Cotisations AVS, AI, APG* : </t>
  </si>
  <si>
    <t xml:space="preserve">Cotisations AC* : </t>
  </si>
  <si>
    <t>Date :</t>
  </si>
  <si>
    <t>a</t>
  </si>
  <si>
    <t>d</t>
  </si>
  <si>
    <t>b</t>
  </si>
  <si>
    <t>e</t>
  </si>
  <si>
    <t>Dont Fr. *** en nature (selon barême AVS)</t>
  </si>
  <si>
    <t>Arrondi</t>
  </si>
  <si>
    <t>Net</t>
  </si>
  <si>
    <t>Jours de travail (a) :</t>
  </si>
  <si>
    <t>Cours professionnels (b) :</t>
  </si>
  <si>
    <t>Cours interentreprises (c) :</t>
  </si>
  <si>
    <t>Congé (d) :</t>
  </si>
  <si>
    <t>Vacances (e) :</t>
  </si>
  <si>
    <t>Jours de travail</t>
  </si>
  <si>
    <t>Montant des
 Prestations en
 nature</t>
  </si>
  <si>
    <t>Montant
 modifié</t>
  </si>
  <si>
    <t>Pour chaque jour du mois vous pouvez saisir ici la journée de l'apprenti</t>
  </si>
  <si>
    <t>f</t>
  </si>
  <si>
    <t>Les cases rouges indiquent les prestations en nature décomptées pour la journée.</t>
  </si>
  <si>
    <t>Le montant des prestations en nature est calculé automatiquement</t>
  </si>
  <si>
    <t>Le montant modifié des prestations en nature est calculé automatiquement</t>
  </si>
  <si>
    <t>Le décompte des jours est reporté dans le décompte salaire du mois</t>
  </si>
  <si>
    <t>Vous ne devez remplir que les cellules jaunes !!!</t>
  </si>
  <si>
    <t xml:space="preserve">Pour chaque jour, vous pouvez ajouter ou soustraire une ou plusieurs prestations en nature </t>
  </si>
  <si>
    <t>Lohn und Tagesanzahl</t>
  </si>
  <si>
    <t>Naturallohn pro Jahr</t>
  </si>
  <si>
    <t>Vertragsdauer</t>
  </si>
  <si>
    <t>Freitage</t>
  </si>
  <si>
    <t>Ferien</t>
  </si>
  <si>
    <t>Schultage</t>
  </si>
  <si>
    <t>Arbeitstage</t>
  </si>
  <si>
    <t>PLZ und Ort</t>
  </si>
  <si>
    <t>AHV-Nummer</t>
  </si>
  <si>
    <t>Geburtsdatum</t>
  </si>
  <si>
    <t>Jahr</t>
  </si>
  <si>
    <t>Lehrjahr</t>
  </si>
  <si>
    <t>Morgenessen</t>
  </si>
  <si>
    <t>Übernachtung</t>
  </si>
  <si>
    <t>Mittagessen</t>
  </si>
  <si>
    <t>Abendessen</t>
  </si>
  <si>
    <t>Nichtbetriebsunfall</t>
  </si>
  <si>
    <t>Krankentaggeld</t>
  </si>
  <si>
    <t>Monat</t>
  </si>
  <si>
    <t>Berufsbildner</t>
  </si>
  <si>
    <t>Ort</t>
  </si>
  <si>
    <t xml:space="preserve">Bruttolohn  </t>
  </si>
  <si>
    <t>Bruttolohn total</t>
  </si>
  <si>
    <t>Datum</t>
  </si>
  <si>
    <t xml:space="preserve">Lohn   </t>
  </si>
  <si>
    <t>Bruttolohn</t>
  </si>
  <si>
    <t>Name und Vorname Berufsbildnerin / Berufsbildner</t>
  </si>
  <si>
    <t>Name und Vorname der / des Lernenden</t>
  </si>
  <si>
    <t>Anz. Tage</t>
  </si>
  <si>
    <t>Lernende /r</t>
  </si>
  <si>
    <t>Berufsbildner /in</t>
  </si>
  <si>
    <t>Differenz</t>
  </si>
  <si>
    <t>Arbeit</t>
  </si>
  <si>
    <t>Frei</t>
  </si>
  <si>
    <t>Nettolohn</t>
  </si>
  <si>
    <t>Abzüge</t>
  </si>
  <si>
    <t>Prämie, Bonus, Gratifikation</t>
  </si>
  <si>
    <t>Effektiver Naturallohn</t>
  </si>
  <si>
    <t>Monatsauszahlung</t>
  </si>
  <si>
    <t>Effektive Auszahlung</t>
  </si>
  <si>
    <t>Vorgesehene Werte</t>
  </si>
  <si>
    <t>Tagesabrechnung</t>
  </si>
  <si>
    <t>Bitte nur die gelben zellen ausfüllen!</t>
  </si>
  <si>
    <t xml:space="preserve">Netto </t>
  </si>
  <si>
    <t>Gerundet</t>
  </si>
  <si>
    <t>Durchschnittliche Auszahlung pro Monat</t>
  </si>
  <si>
    <t>Lohnrückbehalte</t>
  </si>
  <si>
    <t>Betrag Naturallohn</t>
  </si>
  <si>
    <t>Angepasster Betrag</t>
  </si>
  <si>
    <t>Übrige Rückvergütungen</t>
  </si>
  <si>
    <t>Abzüge AHV, IV</t>
  </si>
  <si>
    <t>Abzüge ALV</t>
  </si>
  <si>
    <t>Für jeden Tag können Sie eine oder mehrere Mahlzeiten hinzufügen oder entfernen.</t>
  </si>
  <si>
    <t>Der Naturallohnabzug wird automatisch berechnet.</t>
  </si>
  <si>
    <t>Die Tagesabrechnung wird in die Monatsabrechnung übertragen.</t>
  </si>
  <si>
    <t>Die roten Felder zeigen die Naturallohnabzüge pro Tag an.</t>
  </si>
  <si>
    <t xml:space="preserve">Der angepasste Betrag des Naturallohns wird automatisch berechnet. </t>
  </si>
  <si>
    <t>Beiträge ALV*:</t>
  </si>
  <si>
    <t>Beiträge AHV, IV, EO*:</t>
  </si>
  <si>
    <t>Bemerkungen:</t>
  </si>
  <si>
    <t>üK</t>
  </si>
  <si>
    <t>Lohndaten</t>
  </si>
  <si>
    <t>Schultage:</t>
  </si>
  <si>
    <t>Ferien:</t>
  </si>
  <si>
    <t>Nichtbetriebsunfall:</t>
  </si>
  <si>
    <t>Krankentaggeld:</t>
  </si>
  <si>
    <t>Monatliche Lohnabrechnung</t>
  </si>
  <si>
    <t>Monat:</t>
  </si>
  <si>
    <t>Jahr:</t>
  </si>
  <si>
    <t>Total Abzüge</t>
  </si>
  <si>
    <t>Naturallohnansätze</t>
  </si>
  <si>
    <t>Naturallohnansätze pro Tag</t>
  </si>
  <si>
    <t>Anteil</t>
  </si>
  <si>
    <t>Zuschläge</t>
  </si>
  <si>
    <t>Lohn Jan-Aug</t>
  </si>
  <si>
    <t>Netto-Auszahlung</t>
  </si>
  <si>
    <t>üK:</t>
  </si>
  <si>
    <t>Lerndende / r</t>
  </si>
  <si>
    <t>Übrige Abzüge</t>
  </si>
  <si>
    <t>Kostenbeteiligungen</t>
  </si>
  <si>
    <t>Rückvergügungen</t>
  </si>
  <si>
    <t>*) sofern pflichtig</t>
  </si>
  <si>
    <t>(1, 2, 3a oder 3b)</t>
  </si>
  <si>
    <t>Bruttolohn (minimum)</t>
  </si>
  <si>
    <t>Minimaler Jahreslohn:</t>
  </si>
  <si>
    <t>Lernende / r</t>
  </si>
  <si>
    <t>Anderer Abzug:</t>
  </si>
  <si>
    <t>Arbeitstage ( a )</t>
  </si>
  <si>
    <t>Schultage ( b )</t>
  </si>
  <si>
    <t>überbetriebliche Kurse ( c )</t>
  </si>
  <si>
    <t>Frei ( d )</t>
  </si>
  <si>
    <t>Ferien ( e )</t>
  </si>
  <si>
    <t>1/2 jour (travail/congé) :</t>
  </si>
  <si>
    <t>Nombre de mois</t>
  </si>
  <si>
    <t>Anzahl Monaten</t>
  </si>
  <si>
    <t>Nombre de mois :</t>
  </si>
  <si>
    <t>F</t>
  </si>
  <si>
    <t>Lohn Aug-Dec</t>
  </si>
  <si>
    <t>1ère année d'apprentissage</t>
  </si>
  <si>
    <t>2ème année d'apprentissage</t>
  </si>
  <si>
    <t>3ème année d'apprentissage (toute l'année)</t>
  </si>
  <si>
    <t>Choix des listes déroulantes / Wahl der Dropdown-Liste</t>
  </si>
  <si>
    <t>D</t>
  </si>
  <si>
    <t>Langue / Sprache</t>
  </si>
  <si>
    <t>Valeurs / Werte</t>
  </si>
  <si>
    <t>Oui/Non / Ja/Nein</t>
  </si>
  <si>
    <t>Descriptions / Beschreibungen</t>
  </si>
  <si>
    <t>Année d'apprentissage / Lehrjahr</t>
  </si>
  <si>
    <t>OUI</t>
  </si>
  <si>
    <t>NON</t>
  </si>
  <si>
    <t>JA</t>
  </si>
  <si>
    <t>NEIN</t>
  </si>
  <si>
    <t>1/1</t>
  </si>
  <si>
    <t>1. Lehrjahr</t>
  </si>
  <si>
    <t>2. Lehrjahr</t>
  </si>
  <si>
    <t>3. Lehrjahr (ganzes Jahr)</t>
  </si>
  <si>
    <t>Attestation de salaire août-déc.</t>
  </si>
  <si>
    <t>Attestation de salaire jan.-août</t>
  </si>
  <si>
    <t>1</t>
  </si>
  <si>
    <t>x</t>
  </si>
  <si>
    <t>Catégorie / Kategorie</t>
  </si>
  <si>
    <t>Cours professionnel</t>
  </si>
  <si>
    <t>Cours interentreprise</t>
  </si>
  <si>
    <t>Congé</t>
  </si>
  <si>
    <t>Den Lohn während des Jahres nicht ändern !</t>
  </si>
  <si>
    <t>Ne pas modifier le salaire annuel en cours d'année !</t>
  </si>
  <si>
    <t>Arbeitstag</t>
  </si>
  <si>
    <t>Schultag</t>
  </si>
  <si>
    <t>Freitag</t>
  </si>
  <si>
    <t>halbe (Arbeitstag/Freitag):</t>
  </si>
  <si>
    <t>Nombre / Anzahl</t>
  </si>
  <si>
    <t>-1</t>
  </si>
  <si>
    <t>Accident :</t>
  </si>
  <si>
    <t>Maladie :</t>
  </si>
  <si>
    <t>Krankheit:</t>
  </si>
  <si>
    <t>Unfall:</t>
  </si>
  <si>
    <t>Unfall ( g )</t>
  </si>
  <si>
    <t>Krankheit ( h )</t>
  </si>
  <si>
    <t>Frei:</t>
  </si>
  <si>
    <t>Arbeit:</t>
  </si>
  <si>
    <t>Travail :</t>
  </si>
  <si>
    <t>Cours prof. :</t>
  </si>
  <si>
    <t>Cours IE :</t>
  </si>
  <si>
    <t>Congés :</t>
  </si>
  <si>
    <t>aktueller
Monat</t>
  </si>
  <si>
    <t>Mois
courant</t>
  </si>
  <si>
    <t>Cumul mois
précédents</t>
  </si>
  <si>
    <t>Summe der
Vormonate</t>
  </si>
  <si>
    <t>Jahresvor-
anschlag:</t>
  </si>
  <si>
    <t>Prévus
annuellement</t>
  </si>
  <si>
    <t>Solde
actuel</t>
  </si>
  <si>
    <t>Aktueller
Saldo</t>
  </si>
  <si>
    <t>Accident</t>
  </si>
  <si>
    <t>Maladie</t>
  </si>
  <si>
    <t>Unfall</t>
  </si>
  <si>
    <t>Krankheit</t>
  </si>
  <si>
    <t>Geben Sie für jeden Tag die Beschäftigung der / des Lernenden ein (a bis h)</t>
  </si>
  <si>
    <t>g</t>
  </si>
  <si>
    <t>h</t>
  </si>
  <si>
    <t>Effectif/Moyen / Effektiv/Durschnitt</t>
  </si>
  <si>
    <t>Affichage</t>
  </si>
  <si>
    <t xml:space="preserve">Salaire en nature mensuel : </t>
  </si>
  <si>
    <t>Effektive Naturallohn:</t>
  </si>
  <si>
    <t>Monatliche Naturallohn:</t>
  </si>
  <si>
    <t>Salaire en nature mensuel</t>
  </si>
  <si>
    <t>Si salaire en nature mensuel, indiquer la répartition des salaires août ***1 et ***2</t>
  </si>
  <si>
    <t>Accident (g) :</t>
  </si>
  <si>
    <t>Maladie (h) :</t>
  </si>
  <si>
    <t>Une cellule rouge indique une mauvaise saisie. Seules les valeurs a, b, c, d, e, f, g ou h peuvent être saisie ici.</t>
  </si>
  <si>
    <t>Eine rote Zelle zeigt eine Falscheingabe an. Nur die Werte a, b, c, d, e, f, g oder h können eingegeben werden.</t>
  </si>
  <si>
    <t>Afficher dans le décompte le salaire en nature effectif ou mensuel (moyenne)</t>
  </si>
  <si>
    <t>Monatlicher Naturallohn</t>
  </si>
  <si>
    <t>Wovon Fr. *** Naturallohn (nach AHV)</t>
  </si>
  <si>
    <t>Wenn monatlicher Naturallohn, Lohnaufteilung August ***1 und ***2 angeben</t>
  </si>
  <si>
    <t>In der Abrechnung den effektiven oder monatlichen (Durschnitt) Naturallohn anzeigen</t>
  </si>
  <si>
    <t>Le total mensuel des prestations en nature est reporté dans le décompte salaire du mois si on affiche le montant effectif du salaire en nature. Sinon on reporte le salaire en nature mensuel</t>
  </si>
  <si>
    <t>Das Total der Naturallohnabzüge wird in die Monatsabrechnung übertragen, wenn der effektive Naturallohn angezeigt wird. Sonst wird der monatliche Naturallohn übertragt.</t>
  </si>
  <si>
    <t>Sprache</t>
  </si>
  <si>
    <t>Adresse</t>
  </si>
  <si>
    <t>Jahreslohn</t>
  </si>
  <si>
    <t>Monatslohn</t>
  </si>
  <si>
    <t>Naturallohn pro Monat</t>
  </si>
  <si>
    <t>AHV-Pflichtig seit</t>
  </si>
  <si>
    <t>halbe (Arbeitstage/Freitage)</t>
  </si>
  <si>
    <t>Beiträge AHV, IV, EO</t>
  </si>
  <si>
    <t>Beiträge ALV</t>
  </si>
  <si>
    <t>Salaire mensuel moyen :</t>
  </si>
  <si>
    <t>sans AVS, moins de 18 ans :</t>
  </si>
  <si>
    <t>avec AVS, dès 18 ans :</t>
  </si>
  <si>
    <t>ohne AHV, unter 18 Jahren:</t>
  </si>
  <si>
    <t>mit AHV, über 18 Jahren:</t>
  </si>
  <si>
    <t>Durchschnittliche Monatslohn</t>
  </si>
  <si>
    <t>Chambre à disposition (oui/non/bloc) :</t>
  </si>
  <si>
    <t>Zimmer zur Verfügung (ja/nein/Blockwochen)</t>
  </si>
  <si>
    <t>Salaire annuel en nature (avec chambre)</t>
  </si>
  <si>
    <t>Salaire annuel en nature (sans chambre)</t>
  </si>
  <si>
    <t>Naturallohn pro Jahr (mit Zimmer)</t>
  </si>
  <si>
    <t>Naturallohn pro Jahr (ohne Zimmer)</t>
  </si>
  <si>
    <t>Nb. de jours total :</t>
  </si>
  <si>
    <t>Total anzahl Tage</t>
  </si>
  <si>
    <t>Naturallohn pro Jahr (Zimmer ausserhalb Blockw.)</t>
  </si>
  <si>
    <t>Sal. annuel en nat. (chambre hors sem. bloc)</t>
  </si>
  <si>
    <t>en dehors des semaines bloc</t>
  </si>
  <si>
    <t>nur ausserhalb Blockwochen</t>
  </si>
  <si>
    <t>Tagen in Blockwochen (inkl. Ferien + Freitage)</t>
  </si>
  <si>
    <t>Jours en semaine bloc (inc. congé et vac.)</t>
  </si>
  <si>
    <t>Cette option est incompatible avec la variante sélectionnée !</t>
  </si>
  <si>
    <t>Diese Option ist nicht kompatibel mit der selektierte Variant !</t>
  </si>
  <si>
    <t>i</t>
  </si>
  <si>
    <t>[ a-b-c-d-e-f-g-h-i ]</t>
  </si>
  <si>
    <t>1/2 jour (travail/congé)</t>
  </si>
  <si>
    <t>2b</t>
  </si>
  <si>
    <t>2f</t>
  </si>
  <si>
    <t>2ème année (8 jours de cours IE)</t>
  </si>
  <si>
    <t>2. Lehrjahr (8 Tagen ük)</t>
  </si>
  <si>
    <t>Durée totale</t>
  </si>
  <si>
    <t>Si le nombre de mois est différents de 12, le calcul du salaire en nature moyen ne sera peut-être pas exact !</t>
  </si>
  <si>
    <t>Wenn die Anzahl der Monate ist anders als 12, kann die Berechnung der Naturallohn pro Monat nicht ganz exakt sein !</t>
  </si>
  <si>
    <t xml:space="preserve">Accident non profes.: </t>
  </si>
  <si>
    <t>http://www.formationprof.ch/download/am4.pdf</t>
  </si>
  <si>
    <t>Les normes cantonales concernant les vacances sont consultables ici:</t>
  </si>
  <si>
    <t>Les normes cantonales concernant le salaire sont consultables ici:</t>
  </si>
  <si>
    <t>Kantonalen Standards in Bezug auf die Ferien sind hier verfügbar</t>
  </si>
  <si>
    <t>Kantonalen Standards in Bezug auf die Löhne sind hier verfügbar</t>
  </si>
  <si>
    <t>Extra-Urlaub bis zu 20 Jahren vorbei</t>
  </si>
  <si>
    <t>Supplément de vacances jusqu'à 20 ans révolus :</t>
  </si>
  <si>
    <t>Armée</t>
  </si>
  <si>
    <t>Militär</t>
  </si>
  <si>
    <t>Commentaires 
a = Jour de travail
b = Jour de cours professionel
c = Jour de cours interentreprises
d = Jour de congé
e = Jour de vacances
f = 1/2 jour de travail, 1/2 jour de congé
g = Accident (jour entier)
h = Maladie (jour entier)
i = Armée</t>
  </si>
  <si>
    <t>Kommentar
a = Arbeitstag
b = Schultag
c = überbetrieblicher Kurs (üK)
d = Freitag
e = Ferientag
f = 1/2 Arbeitstag, 1/2 Freitag
g = Unfall (ganz Tag)
h = Krankheit (ganz Tag)
i = Miltär</t>
  </si>
  <si>
    <t>Armée :</t>
  </si>
  <si>
    <t>Militär:</t>
  </si>
  <si>
    <t>Armée (i) :</t>
  </si>
  <si>
    <t>Militär ( i )</t>
  </si>
  <si>
    <t>a = Journée de travail
b = Journée de cours professionnels
c = Journée de cours interentreprises
d = Journée de congé
e = Journée de vacances
f = 1/2 jour de travail, 1/2 jour de congé
g = Accident (jour entier)
h = Maladie (jour entier)
i = Armée</t>
  </si>
  <si>
    <t>a = Arbeitstag
b = Schultag
c = überbetrieblicher Kurs (üK)
d = Freitag
e = Ferientag
f = 1/2 Arbeitstag, 1/2 Freitag
g = Unfall (ganz Tag)
h = Krankheit (ganz Tag)
i = Militär</t>
  </si>
  <si>
    <t/>
  </si>
  <si>
    <t>Abzüge AHV, IV, EO</t>
  </si>
  <si>
    <t>Grangeneuve, Juni 2019</t>
  </si>
</sst>
</file>

<file path=xl/styles.xml><?xml version="1.0" encoding="utf-8"?>
<styleSheet xmlns="http://schemas.openxmlformats.org/spreadsheetml/2006/main">
  <numFmts count="45">
    <numFmt numFmtId="5" formatCode="#,##0\ &quot;CHF&quot;;\-#,##0\ &quot;CHF&quot;"/>
    <numFmt numFmtId="6" formatCode="#,##0\ &quot;CHF&quot;;[Red]\-#,##0\ &quot;CHF&quot;"/>
    <numFmt numFmtId="7" formatCode="#,##0.00\ &quot;CHF&quot;;\-#,##0.00\ &quot;CHF&quot;"/>
    <numFmt numFmtId="8" formatCode="#,##0.00\ &quot;CHF&quot;;[Red]\-#,##0.00\ &quot;CHF&quot;"/>
    <numFmt numFmtId="42" formatCode="_-* #,##0\ &quot;CHF&quot;_-;\-* #,##0\ &quot;CHF&quot;_-;_-* &quot;-&quot;\ &quot;CHF&quot;_-;_-@_-"/>
    <numFmt numFmtId="41" formatCode="_-* #,##0_-;\-* #,##0_-;_-* &quot;-&quot;_-;_-@_-"/>
    <numFmt numFmtId="44" formatCode="_-* #,##0.00\ &quot;CHF&quot;_-;\-* #,##0.00\ &quot;CHF&quot;_-;_-* &quot;-&quot;??\ &quot;CHF&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_-* #,##0\ _C_H_F_-;\-* #,##0\ _C_H_F_-;_-* &quot;-&quot;\ _C_H_F_-;_-@_-"/>
    <numFmt numFmtId="173" formatCode="_-* #,##0.00\ _C_H_F_-;\-* #,##0.00\ _C_H_F_-;_-* &quot;-&quot;??\ _C_H_F_-;_-@_-"/>
    <numFmt numFmtId="174" formatCode="&quot;CHF&quot;\ #,##0;&quot;CHF&quot;\ \-#,##0"/>
    <numFmt numFmtId="175" formatCode="&quot;CHF&quot;\ #,##0;[Red]&quot;CHF&quot;\ \-#,##0"/>
    <numFmt numFmtId="176" formatCode="&quot;CHF&quot;\ #,##0.00;&quot;CHF&quot;\ \-#,##0.00"/>
    <numFmt numFmtId="177" formatCode="&quot;CHF&quot;\ #,##0.00;[Red]&quot;CHF&quot;\ \-#,##0.00"/>
    <numFmt numFmtId="178" formatCode="_ &quot;CHF&quot;\ * #,##0_ ;_ &quot;CHF&quot;\ * \-#,##0_ ;_ &quot;CHF&quot;\ * &quot;-&quot;_ ;_ @_ "/>
    <numFmt numFmtId="179" formatCode="_ &quot;CHF&quot;\ * #,##0.00_ ;_ &quot;CHF&quot;\ * \-#,##0.00_ ;_ &quot;CHF&quot;\ * &quot;-&quot;??_ ;_ @_ "/>
    <numFmt numFmtId="180" formatCode="_ &quot;SFr.&quot;\ * #,##0.00_ ;_ &quot;SFr.&quot;\ * \-#,##0.00_ ;_ &quot;SFr.&quot;\ * &quot;-&quot;??_ ;_ @_ "/>
    <numFmt numFmtId="181" formatCode="0.0"/>
    <numFmt numFmtId="182" formatCode="#,##0.0"/>
    <numFmt numFmtId="183" formatCode="_ * #,##0.0_ ;_ * \-#,##0.0_ ;_ * &quot;-&quot;??_ ;_ @_ "/>
    <numFmt numFmtId="184" formatCode="ddd\ dd/mm/yy"/>
    <numFmt numFmtId="185" formatCode="mmm\ yyyy"/>
    <numFmt numFmtId="186" formatCode="mmm"/>
    <numFmt numFmtId="187" formatCode="dd/mm/yyyy;@"/>
    <numFmt numFmtId="188" formatCode="d/\ mmm\ yy"/>
    <numFmt numFmtId="189" formatCode="mmmm"/>
    <numFmt numFmtId="190" formatCode="yyyy"/>
    <numFmt numFmtId="191" formatCode="0.000%"/>
    <numFmt numFmtId="192" formatCode="#,##0.0_ ;[Red]\-#,##0.0\ "/>
    <numFmt numFmtId="193" formatCode="#,##0.00_ ;[Red]\-#,##0.00\ "/>
    <numFmt numFmtId="194" formatCode="0_ ;[Red]\-0\ "/>
    <numFmt numFmtId="195" formatCode="dd/mm/yy"/>
    <numFmt numFmtId="196" formatCode="0_ ;\-0\ "/>
    <numFmt numFmtId="197" formatCode="&quot;Yes&quot;;&quot;Yes&quot;;&quot;No&quot;"/>
    <numFmt numFmtId="198" formatCode="&quot;True&quot;;&quot;True&quot;;&quot;False&quot;"/>
    <numFmt numFmtId="199" formatCode="&quot;On&quot;;&quot;On&quot;;&quot;Off&quot;"/>
    <numFmt numFmtId="200" formatCode="[$€-2]\ #,##0.00_);[Red]\([$€-2]\ #,##0.00\)"/>
  </numFmts>
  <fonts count="42">
    <font>
      <sz val="10"/>
      <name val="Arial"/>
      <family val="0"/>
    </font>
    <font>
      <sz val="11"/>
      <color indexed="8"/>
      <name val="Calibri"/>
      <family val="2"/>
    </font>
    <font>
      <sz val="8"/>
      <name val="Arial"/>
      <family val="2"/>
    </font>
    <font>
      <u val="single"/>
      <sz val="10"/>
      <color indexed="12"/>
      <name val="Arial"/>
      <family val="2"/>
    </font>
    <font>
      <b/>
      <sz val="10"/>
      <name val="Arial"/>
      <family val="2"/>
    </font>
    <font>
      <sz val="11"/>
      <name val="Arial"/>
      <family val="2"/>
    </font>
    <font>
      <b/>
      <sz val="11"/>
      <name val="Arial"/>
      <family val="2"/>
    </font>
    <font>
      <i/>
      <sz val="11"/>
      <name val="Arial"/>
      <family val="2"/>
    </font>
    <font>
      <b/>
      <sz val="13"/>
      <name val="Arial"/>
      <family val="2"/>
    </font>
    <font>
      <sz val="9"/>
      <name val="Arial"/>
      <family val="2"/>
    </font>
    <font>
      <b/>
      <sz val="14"/>
      <name val="Arial"/>
      <family val="2"/>
    </font>
    <font>
      <b/>
      <sz val="11"/>
      <color indexed="9"/>
      <name val="Arial"/>
      <family val="2"/>
    </font>
    <font>
      <b/>
      <u val="single"/>
      <sz val="12"/>
      <name val="Arial"/>
      <family val="2"/>
    </font>
    <font>
      <b/>
      <sz val="12"/>
      <name val="Arial"/>
      <family val="2"/>
    </font>
    <font>
      <sz val="14"/>
      <name val="Arial"/>
      <family val="2"/>
    </font>
    <font>
      <sz val="11"/>
      <color indexed="9"/>
      <name val="Arial"/>
      <family val="2"/>
    </font>
    <font>
      <b/>
      <u val="single"/>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6"/>
      <name val="Arial"/>
      <family val="2"/>
    </font>
    <font>
      <u val="single"/>
      <sz val="10"/>
      <color indexed="20"/>
      <name val="Arial"/>
      <family val="2"/>
    </font>
    <font>
      <b/>
      <sz val="11"/>
      <color indexed="8"/>
      <name val="Calibri"/>
      <family val="2"/>
    </font>
    <font>
      <b/>
      <u val="single"/>
      <sz val="11"/>
      <color indexed="8"/>
      <name val="Arial"/>
      <family val="0"/>
    </font>
    <font>
      <b/>
      <sz val="11"/>
      <color indexed="8"/>
      <name val="Arial"/>
      <family val="0"/>
    </font>
    <font>
      <sz val="11"/>
      <color indexed="8"/>
      <name val="Arial"/>
      <family val="0"/>
    </font>
    <font>
      <i/>
      <sz val="11"/>
      <color indexed="8"/>
      <name val="Arial"/>
      <family val="0"/>
    </font>
    <font>
      <sz val="11"/>
      <color theme="0"/>
      <name val="Calibri"/>
      <family val="2"/>
    </font>
    <font>
      <u val="single"/>
      <sz val="10"/>
      <color theme="11"/>
      <name val="Arial"/>
      <family val="2"/>
    </font>
    <font>
      <b/>
      <sz val="11"/>
      <color theme="1"/>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41"/>
        <bgColor indexed="64"/>
      </patternFill>
    </fill>
    <fill>
      <patternFill patternType="solid">
        <fgColor rgb="FFFFFF99"/>
        <bgColor indexed="64"/>
      </patternFill>
    </fill>
  </fills>
  <borders count="95">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thin"/>
      <right style="medium"/>
      <top style="thin"/>
      <bottom style="thin"/>
    </border>
    <border>
      <left style="medium"/>
      <right style="thin"/>
      <top/>
      <bottom style="thin"/>
    </border>
    <border>
      <left style="thin"/>
      <right/>
      <top/>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border>
    <border>
      <left style="thin"/>
      <right/>
      <top style="medium"/>
      <bottom/>
    </border>
    <border>
      <left style="thin"/>
      <right style="medium"/>
      <top style="medium"/>
      <bottom/>
    </border>
    <border>
      <left/>
      <right style="medium"/>
      <top style="medium"/>
      <bottom/>
    </border>
    <border>
      <left style="medium"/>
      <right style="thin"/>
      <top style="medium"/>
      <bottom style="thin"/>
    </border>
    <border>
      <left style="thin"/>
      <right style="medium"/>
      <top style="medium"/>
      <bottom style="thin"/>
    </border>
    <border>
      <left/>
      <right style="medium"/>
      <top style="medium"/>
      <bottom style="thin"/>
    </border>
    <border>
      <left style="medium"/>
      <right style="thin"/>
      <top style="thin"/>
      <bottom style="thin"/>
    </border>
    <border>
      <left/>
      <right style="medium"/>
      <top style="thin"/>
      <bottom style="thin"/>
    </border>
    <border>
      <left style="medium"/>
      <right style="thin"/>
      <top style="thin"/>
      <bottom style="medium"/>
    </border>
    <border>
      <left style="thin"/>
      <right style="medium"/>
      <top style="thin"/>
      <bottom style="medium"/>
    </border>
    <border>
      <left/>
      <right style="medium"/>
      <top style="thin"/>
      <bottom style="medium"/>
    </border>
    <border>
      <left/>
      <right/>
      <top style="thin"/>
      <bottom style="thin"/>
    </border>
    <border>
      <left/>
      <right/>
      <top/>
      <bottom style="thin"/>
    </border>
    <border>
      <left/>
      <right/>
      <top/>
      <bottom style="hair"/>
    </border>
    <border>
      <left style="medium"/>
      <right/>
      <top style="medium"/>
      <bottom style="thin"/>
    </border>
    <border>
      <left style="medium"/>
      <right/>
      <top style="thin"/>
      <bottom style="thin"/>
    </border>
    <border>
      <left style="medium"/>
      <right/>
      <top style="thin"/>
      <bottom style="medium"/>
    </border>
    <border>
      <left style="medium"/>
      <right/>
      <top style="medium"/>
      <bottom style="medium"/>
    </border>
    <border>
      <left style="medium"/>
      <right/>
      <top/>
      <bottom style="medium"/>
    </border>
    <border>
      <left/>
      <right/>
      <top style="medium"/>
      <bottom style="medium"/>
    </border>
    <border>
      <left style="medium"/>
      <right style="medium"/>
      <top style="medium"/>
      <bottom style="medium"/>
    </border>
    <border>
      <left style="medium"/>
      <right style="medium"/>
      <top style="medium"/>
      <bottom style="thin"/>
    </border>
    <border>
      <left/>
      <right style="medium"/>
      <top/>
      <bottom style="thin"/>
    </border>
    <border>
      <left/>
      <right style="medium"/>
      <top style="medium"/>
      <bottom style="medium"/>
    </border>
    <border>
      <left style="medium"/>
      <right style="medium"/>
      <top/>
      <bottom style="thin"/>
    </border>
    <border>
      <left style="medium"/>
      <right style="thin"/>
      <top style="medium"/>
      <bottom/>
    </border>
    <border>
      <left style="thin"/>
      <right/>
      <top style="medium"/>
      <bottom style="thin"/>
    </border>
    <border>
      <left style="thin"/>
      <right style="thin"/>
      <top style="medium"/>
      <bottom style="thin"/>
    </border>
    <border>
      <left/>
      <right/>
      <top style="medium"/>
      <bottom style="thin"/>
    </border>
    <border>
      <left style="thin"/>
      <right/>
      <top style="thin"/>
      <bottom style="thin"/>
    </border>
    <border>
      <left style="thin"/>
      <right style="thin"/>
      <top style="thin"/>
      <bottom style="thin"/>
    </border>
    <border>
      <left style="thin"/>
      <right/>
      <top style="thin"/>
      <bottom style="medium"/>
    </border>
    <border>
      <left style="thin"/>
      <right style="thin"/>
      <top style="thin"/>
      <bottom style="medium"/>
    </border>
    <border>
      <left/>
      <right/>
      <top style="thin"/>
      <bottom style="medium"/>
    </border>
    <border>
      <left style="medium"/>
      <right style="thin"/>
      <top/>
      <bottom style="medium"/>
    </border>
    <border>
      <left style="thin"/>
      <right style="thin"/>
      <top/>
      <bottom style="medium"/>
    </border>
    <border>
      <left style="thin"/>
      <right style="medium"/>
      <top/>
      <bottom style="medium"/>
    </border>
    <border>
      <left/>
      <right/>
      <top/>
      <bottom style="medium"/>
    </border>
    <border>
      <left style="medium"/>
      <right style="medium"/>
      <top/>
      <bottom style="medium"/>
    </border>
    <border>
      <left style="thin"/>
      <right style="thin"/>
      <top/>
      <bottom style="thin"/>
    </border>
    <border>
      <left style="thin"/>
      <right/>
      <top/>
      <bottom style="medium"/>
    </border>
    <border>
      <left style="medium"/>
      <right style="medium"/>
      <top/>
      <bottom/>
    </border>
    <border>
      <left style="thin"/>
      <right/>
      <top style="medium"/>
      <bottom style="medium"/>
    </border>
    <border>
      <left style="medium"/>
      <right style="thin"/>
      <top style="thin"/>
      <bottom/>
    </border>
    <border>
      <left style="thin"/>
      <right/>
      <top style="thin"/>
      <bottom/>
    </border>
    <border>
      <left/>
      <right style="medium"/>
      <top style="thin"/>
      <bottom/>
    </border>
    <border>
      <left/>
      <right style="thin"/>
      <top style="medium"/>
      <bottom style="medium"/>
    </border>
    <border>
      <left/>
      <right style="thin"/>
      <top/>
      <bottom style="thin"/>
    </border>
    <border>
      <left style="thin"/>
      <right style="medium"/>
      <top/>
      <bottom style="thin"/>
    </border>
    <border>
      <left/>
      <right style="thin"/>
      <top style="thin"/>
      <bottom style="medium"/>
    </border>
    <border>
      <left/>
      <right style="thin"/>
      <top style="medium"/>
      <bottom style="thin"/>
    </border>
    <border>
      <left/>
      <right style="thin"/>
      <top style="thin"/>
      <bottom style="thin"/>
    </border>
    <border>
      <left/>
      <right/>
      <top style="thin"/>
      <bottom/>
    </border>
    <border>
      <left style="thin"/>
      <right style="medium"/>
      <top style="thin"/>
      <bottom/>
    </border>
    <border>
      <left/>
      <right style="thin"/>
      <top style="thin"/>
      <bottom/>
    </border>
    <border>
      <left style="medium"/>
      <right style="medium"/>
      <top style="medium"/>
      <bottom/>
    </border>
    <border>
      <left style="thin"/>
      <right style="thin"/>
      <top style="thin"/>
      <bottom/>
    </border>
    <border>
      <left/>
      <right style="thin"/>
      <top/>
      <bottom/>
    </border>
    <border>
      <left style="thin"/>
      <right style="medium"/>
      <top/>
      <bottom/>
    </border>
    <border>
      <left style="medium"/>
      <right style="medium"/>
      <top style="thin"/>
      <bottom/>
    </border>
    <border>
      <left style="medium"/>
      <right/>
      <top style="medium"/>
      <bottom/>
    </border>
    <border>
      <left style="medium"/>
      <right/>
      <top style="thin"/>
      <bottom/>
    </border>
    <border>
      <left style="medium"/>
      <right style="medium">
        <color indexed="12"/>
      </right>
      <top style="medium">
        <color indexed="12"/>
      </top>
      <bottom/>
    </border>
    <border>
      <left style="medium"/>
      <right style="medium">
        <color indexed="12"/>
      </right>
      <top/>
      <bottom/>
    </border>
    <border>
      <left style="medium"/>
      <right style="medium">
        <color indexed="12"/>
      </right>
      <top/>
      <bottom style="medium">
        <color indexed="12"/>
      </bottom>
    </border>
    <border>
      <left style="thin"/>
      <right/>
      <top/>
      <bottom/>
    </border>
    <border>
      <left style="medium">
        <color indexed="12"/>
      </left>
      <right style="medium">
        <color indexed="12"/>
      </right>
      <top style="medium">
        <color indexed="12"/>
      </top>
      <bottom/>
    </border>
    <border>
      <left style="medium">
        <color indexed="12"/>
      </left>
      <right style="medium">
        <color indexed="12"/>
      </right>
      <top/>
      <bottom style="medium">
        <color indexed="12"/>
      </bottom>
    </border>
    <border>
      <left style="medium">
        <color indexed="39"/>
      </left>
      <right style="medium">
        <color indexed="39"/>
      </right>
      <top style="medium">
        <color indexed="39"/>
      </top>
      <bottom/>
    </border>
    <border>
      <left style="medium">
        <color indexed="39"/>
      </left>
      <right style="medium">
        <color indexed="39"/>
      </right>
      <top/>
      <bottom/>
    </border>
    <border>
      <left style="medium">
        <color indexed="12"/>
      </left>
      <right style="medium">
        <color indexed="12"/>
      </right>
      <top/>
      <bottom/>
    </border>
    <border>
      <left style="medium">
        <color indexed="39"/>
      </left>
      <right style="medium">
        <color indexed="39"/>
      </right>
      <top/>
      <bottom style="medium">
        <color indexed="39"/>
      </bottom>
    </border>
    <border>
      <left style="thin"/>
      <right style="thin"/>
      <top style="medium"/>
      <bottom/>
    </border>
    <border>
      <left style="thin"/>
      <right style="thin"/>
      <top/>
      <bottom/>
    </border>
    <border>
      <left style="medium"/>
      <right style="thin"/>
      <top/>
      <bottom/>
    </border>
    <border>
      <left style="medium"/>
      <right/>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29" fillId="0" borderId="0" applyNumberFormat="0" applyFill="0" applyBorder="0" applyAlignment="0" applyProtection="0"/>
    <xf numFmtId="0" fontId="26" fillId="22" borderId="1" applyNumberFormat="0" applyAlignment="0" applyProtection="0"/>
    <xf numFmtId="0" fontId="27" fillId="0" borderId="2" applyNumberFormat="0" applyFill="0" applyAlignment="0" applyProtection="0"/>
    <xf numFmtId="171" fontId="0" fillId="0" borderId="0" applyFont="0" applyFill="0" applyBorder="0" applyAlignment="0" applyProtection="0"/>
    <xf numFmtId="0" fontId="0" fillId="23" borderId="3" applyNumberFormat="0" applyFont="0" applyAlignment="0" applyProtection="0"/>
    <xf numFmtId="0" fontId="0" fillId="23" borderId="3" applyNumberFormat="0" applyFont="0" applyAlignment="0" applyProtection="0"/>
    <xf numFmtId="180" fontId="0" fillId="0" borderId="0" applyFont="0" applyFill="0" applyBorder="0" applyAlignment="0" applyProtection="0"/>
    <xf numFmtId="0" fontId="24" fillId="7" borderId="1" applyNumberFormat="0" applyAlignment="0" applyProtection="0"/>
    <xf numFmtId="0" fontId="22" fillId="3" borderId="0" applyNumberFormat="0" applyBorder="0" applyAlignment="0" applyProtection="0"/>
    <xf numFmtId="0" fontId="3" fillId="0" borderId="0" applyNumberFormat="0" applyFill="0" applyBorder="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0" fontId="0" fillId="0" borderId="0" applyFont="0" applyFill="0" applyBorder="0" applyAlignment="0" applyProtection="0"/>
    <xf numFmtId="168" fontId="0" fillId="0" borderId="0" applyFont="0" applyFill="0" applyBorder="0" applyAlignment="0" applyProtection="0"/>
    <xf numFmtId="0" fontId="23" fillId="24"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1" fillId="4" borderId="0" applyNumberFormat="0" applyBorder="0" applyAlignment="0" applyProtection="0"/>
    <xf numFmtId="0" fontId="25" fillId="22" borderId="4" applyNumberFormat="0" applyAlignment="0" applyProtection="0"/>
    <xf numFmtId="0" fontId="30" fillId="0" borderId="0" applyNumberForma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41" fillId="0" borderId="8" applyNumberFormat="0" applyFill="0" applyAlignment="0" applyProtection="0"/>
    <xf numFmtId="0" fontId="28" fillId="25" borderId="9" applyNumberFormat="0" applyAlignment="0" applyProtection="0"/>
  </cellStyleXfs>
  <cellXfs count="578">
    <xf numFmtId="0" fontId="0" fillId="0" borderId="0" xfId="0" applyAlignment="1">
      <alignment/>
    </xf>
    <xf numFmtId="2" fontId="0" fillId="0" borderId="0" xfId="0" applyNumberFormat="1" applyBorder="1" applyAlignment="1">
      <alignment/>
    </xf>
    <xf numFmtId="0" fontId="5" fillId="0" borderId="0" xfId="0" applyFont="1" applyAlignment="1">
      <alignment vertical="top"/>
    </xf>
    <xf numFmtId="0" fontId="6" fillId="0" borderId="0" xfId="0" applyFont="1" applyBorder="1" applyAlignment="1">
      <alignment horizontal="right" vertical="top"/>
    </xf>
    <xf numFmtId="182" fontId="0" fillId="0" borderId="0" xfId="0" applyNumberFormat="1" applyBorder="1" applyAlignment="1">
      <alignment/>
    </xf>
    <xf numFmtId="171" fontId="0" fillId="0" borderId="0" xfId="50" applyFont="1" applyBorder="1" applyAlignment="1">
      <alignment/>
    </xf>
    <xf numFmtId="171" fontId="5" fillId="0" borderId="10" xfId="50" applyFont="1" applyBorder="1" applyAlignment="1">
      <alignment vertical="top"/>
    </xf>
    <xf numFmtId="0" fontId="5" fillId="0" borderId="0" xfId="0" applyFont="1" applyAlignment="1" applyProtection="1">
      <alignment vertical="top"/>
      <protection/>
    </xf>
    <xf numFmtId="171" fontId="5" fillId="0" borderId="0" xfId="50" applyFont="1" applyAlignment="1" applyProtection="1">
      <alignment vertical="top"/>
      <protection/>
    </xf>
    <xf numFmtId="0" fontId="5" fillId="0" borderId="0" xfId="0" applyFont="1" applyAlignment="1" applyProtection="1">
      <alignment/>
      <protection/>
    </xf>
    <xf numFmtId="0" fontId="6" fillId="0" borderId="0" xfId="0" applyFont="1" applyAlignment="1" applyProtection="1">
      <alignment vertical="top"/>
      <protection/>
    </xf>
    <xf numFmtId="0" fontId="6" fillId="0" borderId="0" xfId="0" applyFont="1" applyBorder="1" applyAlignment="1" applyProtection="1">
      <alignment horizontal="center"/>
      <protection/>
    </xf>
    <xf numFmtId="171" fontId="5" fillId="0" borderId="11" xfId="50" applyFont="1" applyBorder="1" applyAlignment="1" applyProtection="1">
      <alignment vertical="top"/>
      <protection/>
    </xf>
    <xf numFmtId="171" fontId="5" fillId="0" borderId="12" xfId="50" applyFont="1" applyBorder="1" applyAlignment="1" applyProtection="1">
      <alignment vertical="top"/>
      <protection/>
    </xf>
    <xf numFmtId="171" fontId="5" fillId="0" borderId="0" xfId="0" applyNumberFormat="1" applyFont="1" applyAlignment="1" applyProtection="1">
      <alignment vertical="top"/>
      <protection/>
    </xf>
    <xf numFmtId="184" fontId="5" fillId="0" borderId="13" xfId="0" applyNumberFormat="1" applyFont="1" applyBorder="1" applyAlignment="1" applyProtection="1">
      <alignment vertical="top"/>
      <protection/>
    </xf>
    <xf numFmtId="184" fontId="5" fillId="0" borderId="14" xfId="0" applyNumberFormat="1" applyFont="1" applyBorder="1" applyAlignment="1" applyProtection="1">
      <alignment vertical="top"/>
      <protection/>
    </xf>
    <xf numFmtId="0" fontId="6" fillId="0" borderId="15" xfId="0" applyFont="1" applyBorder="1" applyAlignment="1" applyProtection="1">
      <alignment vertical="top"/>
      <protection/>
    </xf>
    <xf numFmtId="0" fontId="6" fillId="0" borderId="16" xfId="0" applyFont="1" applyBorder="1" applyAlignment="1" applyProtection="1">
      <alignment vertical="top"/>
      <protection/>
    </xf>
    <xf numFmtId="0" fontId="6" fillId="0" borderId="17" xfId="0" applyFont="1" applyBorder="1" applyAlignment="1" applyProtection="1">
      <alignment vertical="top"/>
      <protection/>
    </xf>
    <xf numFmtId="171" fontId="6" fillId="0" borderId="18" xfId="50" applyFont="1" applyBorder="1" applyAlignment="1" applyProtection="1">
      <alignment vertical="top"/>
      <protection/>
    </xf>
    <xf numFmtId="171" fontId="6" fillId="0" borderId="19" xfId="50" applyFont="1" applyBorder="1" applyAlignment="1" applyProtection="1">
      <alignment vertical="top"/>
      <protection/>
    </xf>
    <xf numFmtId="171" fontId="6" fillId="0" borderId="20" xfId="50" applyFont="1" applyBorder="1" applyAlignment="1" applyProtection="1">
      <alignment vertical="top"/>
      <protection/>
    </xf>
    <xf numFmtId="0" fontId="5" fillId="0" borderId="21" xfId="0" applyFont="1" applyBorder="1" applyAlignment="1" applyProtection="1">
      <alignment vertical="top"/>
      <protection/>
    </xf>
    <xf numFmtId="183" fontId="5" fillId="0" borderId="22" xfId="50" applyNumberFormat="1" applyFont="1" applyBorder="1" applyAlignment="1" applyProtection="1">
      <alignment vertical="top"/>
      <protection/>
    </xf>
    <xf numFmtId="183" fontId="5" fillId="0" borderId="23" xfId="50" applyNumberFormat="1" applyFont="1" applyBorder="1" applyAlignment="1" applyProtection="1">
      <alignment vertical="top"/>
      <protection/>
    </xf>
    <xf numFmtId="0" fontId="5" fillId="0" borderId="24" xfId="0" applyFont="1" applyBorder="1" applyAlignment="1" applyProtection="1">
      <alignment vertical="top"/>
      <protection/>
    </xf>
    <xf numFmtId="183" fontId="5" fillId="0" borderId="25" xfId="50" applyNumberFormat="1" applyFont="1" applyBorder="1" applyAlignment="1" applyProtection="1">
      <alignment vertical="top"/>
      <protection/>
    </xf>
    <xf numFmtId="183" fontId="5" fillId="0" borderId="10" xfId="50" applyNumberFormat="1" applyFont="1" applyBorder="1" applyAlignment="1" applyProtection="1">
      <alignment vertical="top"/>
      <protection/>
    </xf>
    <xf numFmtId="0" fontId="5" fillId="0" borderId="26" xfId="0" applyFont="1" applyBorder="1" applyAlignment="1" applyProtection="1">
      <alignment vertical="top"/>
      <protection/>
    </xf>
    <xf numFmtId="183" fontId="5" fillId="0" borderId="27" xfId="50" applyNumberFormat="1" applyFont="1" applyBorder="1" applyAlignment="1" applyProtection="1">
      <alignment vertical="top"/>
      <protection/>
    </xf>
    <xf numFmtId="183" fontId="5" fillId="0" borderId="28" xfId="50" applyNumberFormat="1" applyFont="1" applyBorder="1" applyAlignment="1" applyProtection="1">
      <alignment vertical="top"/>
      <protection/>
    </xf>
    <xf numFmtId="0" fontId="5" fillId="0" borderId="29" xfId="0" applyFont="1" applyBorder="1" applyAlignment="1" applyProtection="1">
      <alignment vertical="top"/>
      <protection/>
    </xf>
    <xf numFmtId="0" fontId="5" fillId="0" borderId="0" xfId="0" applyFont="1" applyAlignment="1" applyProtection="1">
      <alignment horizontal="right"/>
      <protection/>
    </xf>
    <xf numFmtId="0" fontId="5" fillId="0" borderId="0" xfId="0" applyFont="1" applyBorder="1" applyAlignment="1" applyProtection="1">
      <alignment/>
      <protection/>
    </xf>
    <xf numFmtId="188" fontId="5" fillId="0" borderId="0" xfId="0" applyNumberFormat="1" applyFont="1" applyBorder="1" applyAlignment="1" applyProtection="1">
      <alignment/>
      <protection/>
    </xf>
    <xf numFmtId="0" fontId="6" fillId="0" borderId="0" xfId="0" applyFont="1" applyBorder="1" applyAlignment="1" applyProtection="1">
      <alignment horizontal="right"/>
      <protection/>
    </xf>
    <xf numFmtId="187" fontId="7" fillId="0" borderId="0" xfId="0" applyNumberFormat="1" applyFont="1" applyFill="1" applyBorder="1" applyAlignment="1" applyProtection="1">
      <alignment horizontal="left"/>
      <protection/>
    </xf>
    <xf numFmtId="0" fontId="5" fillId="0" borderId="0" xfId="0" applyFont="1" applyBorder="1" applyAlignment="1" applyProtection="1">
      <alignment horizontal="right"/>
      <protection/>
    </xf>
    <xf numFmtId="0" fontId="6" fillId="0" borderId="0" xfId="0" applyFont="1" applyBorder="1" applyAlignment="1" applyProtection="1">
      <alignment/>
      <protection/>
    </xf>
    <xf numFmtId="0" fontId="5" fillId="0" borderId="0" xfId="0" applyFont="1" applyBorder="1" applyAlignment="1" applyProtection="1">
      <alignment/>
      <protection/>
    </xf>
    <xf numFmtId="0" fontId="9" fillId="0" borderId="0" xfId="0" applyFont="1" applyBorder="1" applyAlignment="1" applyProtection="1">
      <alignment/>
      <protection/>
    </xf>
    <xf numFmtId="187" fontId="7" fillId="0" borderId="30" xfId="0" applyNumberFormat="1" applyFont="1" applyFill="1" applyBorder="1" applyAlignment="1" applyProtection="1">
      <alignment horizontal="center"/>
      <protection/>
    </xf>
    <xf numFmtId="49" fontId="5" fillId="0" borderId="0" xfId="0" applyNumberFormat="1" applyFont="1" applyBorder="1" applyAlignment="1" applyProtection="1">
      <alignment horizontal="center"/>
      <protection/>
    </xf>
    <xf numFmtId="191" fontId="5" fillId="0" borderId="0" xfId="56" applyNumberFormat="1" applyFont="1" applyFill="1" applyBorder="1" applyAlignment="1" applyProtection="1">
      <alignment horizontal="right"/>
      <protection/>
    </xf>
    <xf numFmtId="4" fontId="5" fillId="0" borderId="0" xfId="0" applyNumberFormat="1" applyFont="1" applyBorder="1" applyAlignment="1" applyProtection="1">
      <alignment/>
      <protection/>
    </xf>
    <xf numFmtId="4" fontId="5" fillId="0" borderId="0" xfId="0" applyNumberFormat="1" applyFont="1" applyBorder="1" applyAlignment="1" applyProtection="1">
      <alignment/>
      <protection/>
    </xf>
    <xf numFmtId="4" fontId="5" fillId="0" borderId="0" xfId="0" applyNumberFormat="1" applyFont="1" applyAlignment="1" applyProtection="1">
      <alignment/>
      <protection/>
    </xf>
    <xf numFmtId="1" fontId="5" fillId="0" borderId="0" xfId="0" applyNumberFormat="1" applyFont="1" applyBorder="1" applyAlignment="1">
      <alignment horizontal="right"/>
    </xf>
    <xf numFmtId="4" fontId="6" fillId="0" borderId="31" xfId="0" applyNumberFormat="1" applyFont="1" applyFill="1" applyBorder="1" applyAlignment="1" applyProtection="1">
      <alignment/>
      <protection/>
    </xf>
    <xf numFmtId="4" fontId="5" fillId="0" borderId="31" xfId="0" applyNumberFormat="1" applyFont="1" applyFill="1" applyBorder="1" applyAlignment="1" applyProtection="1">
      <alignment/>
      <protection/>
    </xf>
    <xf numFmtId="4" fontId="5" fillId="0" borderId="30" xfId="0" applyNumberFormat="1" applyFont="1" applyFill="1" applyBorder="1" applyAlignment="1" applyProtection="1">
      <alignment/>
      <protection/>
    </xf>
    <xf numFmtId="4" fontId="6" fillId="0" borderId="31" xfId="0" applyNumberFormat="1" applyFont="1" applyBorder="1" applyAlignment="1" applyProtection="1">
      <alignment/>
      <protection/>
    </xf>
    <xf numFmtId="4" fontId="6" fillId="0" borderId="31" xfId="52" applyNumberFormat="1" applyFont="1" applyBorder="1" applyAlignment="1" applyProtection="1">
      <alignment horizontal="right"/>
      <protection/>
    </xf>
    <xf numFmtId="0" fontId="5" fillId="0" borderId="32" xfId="0" applyFont="1" applyBorder="1" applyAlignment="1" applyProtection="1">
      <alignment/>
      <protection/>
    </xf>
    <xf numFmtId="0" fontId="5" fillId="0" borderId="32" xfId="0" applyFont="1" applyBorder="1" applyAlignment="1" applyProtection="1">
      <alignment/>
      <protection/>
    </xf>
    <xf numFmtId="0" fontId="6" fillId="0" borderId="31" xfId="0" applyFont="1" applyBorder="1" applyAlignment="1" applyProtection="1">
      <alignment/>
      <protection/>
    </xf>
    <xf numFmtId="184" fontId="5" fillId="22" borderId="14" xfId="0" applyNumberFormat="1" applyFont="1" applyFill="1" applyBorder="1" applyAlignment="1" applyProtection="1">
      <alignment vertical="top"/>
      <protection/>
    </xf>
    <xf numFmtId="184" fontId="5" fillId="0" borderId="14" xfId="0" applyNumberFormat="1" applyFont="1" applyFill="1" applyBorder="1" applyAlignment="1" applyProtection="1">
      <alignment vertical="top"/>
      <protection/>
    </xf>
    <xf numFmtId="184" fontId="5" fillId="22" borderId="13" xfId="0" applyNumberFormat="1" applyFont="1" applyFill="1" applyBorder="1" applyAlignment="1" applyProtection="1">
      <alignment vertical="top"/>
      <protection/>
    </xf>
    <xf numFmtId="0" fontId="5" fillId="0" borderId="0" xfId="0" applyFont="1" applyBorder="1" applyAlignment="1">
      <alignment vertical="top"/>
    </xf>
    <xf numFmtId="0" fontId="6" fillId="0" borderId="0" xfId="0" applyFont="1" applyBorder="1" applyAlignment="1">
      <alignment vertical="top"/>
    </xf>
    <xf numFmtId="185" fontId="6" fillId="0" borderId="33" xfId="0" applyNumberFormat="1" applyFont="1" applyBorder="1" applyAlignment="1" applyProtection="1">
      <alignment horizontal="left" vertical="center"/>
      <protection/>
    </xf>
    <xf numFmtId="185" fontId="6" fillId="0" borderId="34" xfId="0" applyNumberFormat="1" applyFont="1" applyBorder="1" applyAlignment="1" applyProtection="1">
      <alignment horizontal="left" vertical="center"/>
      <protection/>
    </xf>
    <xf numFmtId="185" fontId="6" fillId="0" borderId="35" xfId="0" applyNumberFormat="1" applyFont="1" applyBorder="1" applyAlignment="1" applyProtection="1">
      <alignment horizontal="left" vertical="center"/>
      <protection/>
    </xf>
    <xf numFmtId="0" fontId="6" fillId="0" borderId="36" xfId="0" applyFont="1" applyBorder="1" applyAlignment="1">
      <alignment/>
    </xf>
    <xf numFmtId="0" fontId="5" fillId="0" borderId="0" xfId="0" applyFont="1" applyBorder="1" applyAlignment="1">
      <alignment vertical="top"/>
    </xf>
    <xf numFmtId="0" fontId="6" fillId="0" borderId="37" xfId="0" applyFont="1" applyBorder="1" applyAlignment="1">
      <alignment vertical="top"/>
    </xf>
    <xf numFmtId="0" fontId="6" fillId="0" borderId="33" xfId="0" applyFont="1" applyBorder="1" applyAlignment="1">
      <alignment vertical="top"/>
    </xf>
    <xf numFmtId="0" fontId="6" fillId="0" borderId="34" xfId="0" applyFont="1" applyBorder="1" applyAlignment="1">
      <alignment vertical="top"/>
    </xf>
    <xf numFmtId="192" fontId="5" fillId="0" borderId="0" xfId="0" applyNumberFormat="1" applyFont="1" applyBorder="1" applyAlignment="1">
      <alignment vertical="top"/>
    </xf>
    <xf numFmtId="192" fontId="6" fillId="0" borderId="0" xfId="0" applyNumberFormat="1" applyFont="1" applyBorder="1" applyAlignment="1">
      <alignment vertical="top"/>
    </xf>
    <xf numFmtId="193" fontId="6" fillId="0" borderId="0" xfId="0" applyNumberFormat="1" applyFont="1" applyBorder="1" applyAlignment="1">
      <alignment vertical="top"/>
    </xf>
    <xf numFmtId="193" fontId="5" fillId="0" borderId="0" xfId="0" applyNumberFormat="1" applyFont="1" applyBorder="1" applyAlignment="1">
      <alignment vertical="top"/>
    </xf>
    <xf numFmtId="193" fontId="6" fillId="0" borderId="38" xfId="0" applyNumberFormat="1" applyFont="1" applyBorder="1" applyAlignment="1" applyProtection="1">
      <alignment horizontal="center" textRotation="90"/>
      <protection/>
    </xf>
    <xf numFmtId="193" fontId="5" fillId="0" borderId="15" xfId="0" applyNumberFormat="1" applyFont="1" applyBorder="1" applyAlignment="1" applyProtection="1">
      <alignment horizontal="center" textRotation="90"/>
      <protection/>
    </xf>
    <xf numFmtId="193" fontId="5" fillId="0" borderId="16" xfId="0" applyNumberFormat="1" applyFont="1" applyBorder="1" applyAlignment="1" applyProtection="1">
      <alignment horizontal="center" textRotation="90"/>
      <protection/>
    </xf>
    <xf numFmtId="193" fontId="5" fillId="0" borderId="17" xfId="0" applyNumberFormat="1" applyFont="1" applyBorder="1" applyAlignment="1" applyProtection="1">
      <alignment horizontal="center" textRotation="90"/>
      <protection/>
    </xf>
    <xf numFmtId="193" fontId="6" fillId="0" borderId="39" xfId="0" applyNumberFormat="1" applyFont="1" applyBorder="1" applyAlignment="1" applyProtection="1">
      <alignment horizontal="center" textRotation="90"/>
      <protection/>
    </xf>
    <xf numFmtId="193" fontId="5" fillId="0" borderId="38" xfId="0" applyNumberFormat="1" applyFont="1" applyBorder="1" applyAlignment="1" applyProtection="1">
      <alignment horizontal="center" textRotation="90"/>
      <protection/>
    </xf>
    <xf numFmtId="171" fontId="5" fillId="0" borderId="26" xfId="50" applyFont="1" applyBorder="1" applyAlignment="1">
      <alignment vertical="top"/>
    </xf>
    <xf numFmtId="171" fontId="6" fillId="0" borderId="40" xfId="50" applyFont="1" applyBorder="1" applyAlignment="1">
      <alignment vertical="top"/>
    </xf>
    <xf numFmtId="171" fontId="6" fillId="0" borderId="14" xfId="50" applyFont="1" applyBorder="1" applyAlignment="1">
      <alignment vertical="top"/>
    </xf>
    <xf numFmtId="171" fontId="6" fillId="0" borderId="29" xfId="50" applyFont="1" applyBorder="1" applyAlignment="1">
      <alignment vertical="top"/>
    </xf>
    <xf numFmtId="171" fontId="6" fillId="0" borderId="41" xfId="50" applyFont="1" applyBorder="1" applyAlignment="1">
      <alignment vertical="top"/>
    </xf>
    <xf numFmtId="194" fontId="6" fillId="0" borderId="42" xfId="0" applyNumberFormat="1" applyFont="1" applyBorder="1" applyAlignment="1">
      <alignment horizontal="center" vertical="top"/>
    </xf>
    <xf numFmtId="194" fontId="6" fillId="0" borderId="39" xfId="0" applyNumberFormat="1" applyFont="1" applyBorder="1" applyAlignment="1">
      <alignment horizontal="center" vertical="top"/>
    </xf>
    <xf numFmtId="184" fontId="5" fillId="0" borderId="43" xfId="0" applyNumberFormat="1" applyFont="1" applyBorder="1" applyAlignment="1" applyProtection="1">
      <alignment vertical="top"/>
      <protection/>
    </xf>
    <xf numFmtId="0" fontId="6" fillId="0" borderId="0" xfId="0" applyFont="1" applyAlignment="1" applyProtection="1">
      <alignment/>
      <protection/>
    </xf>
    <xf numFmtId="4" fontId="6" fillId="0" borderId="30" xfId="0" applyNumberFormat="1" applyFont="1" applyBorder="1" applyAlignment="1" applyProtection="1">
      <alignment/>
      <protection/>
    </xf>
    <xf numFmtId="193" fontId="6" fillId="0" borderId="44" xfId="0" applyNumberFormat="1" applyFont="1" applyBorder="1" applyAlignment="1" applyProtection="1">
      <alignment horizontal="center" textRotation="90"/>
      <protection/>
    </xf>
    <xf numFmtId="193" fontId="5" fillId="0" borderId="19" xfId="0" applyNumberFormat="1" applyFont="1" applyBorder="1" applyAlignment="1" applyProtection="1">
      <alignment horizontal="center" textRotation="90"/>
      <protection/>
    </xf>
    <xf numFmtId="171" fontId="5" fillId="0" borderId="25" xfId="50" applyFont="1" applyBorder="1" applyAlignment="1">
      <alignment vertical="top"/>
    </xf>
    <xf numFmtId="171" fontId="6" fillId="0" borderId="22" xfId="50" applyFont="1" applyBorder="1" applyAlignment="1">
      <alignment vertical="top"/>
    </xf>
    <xf numFmtId="171" fontId="5" fillId="0" borderId="45" xfId="50" applyFont="1" applyBorder="1" applyAlignment="1">
      <alignment vertical="top"/>
    </xf>
    <xf numFmtId="171" fontId="5" fillId="0" borderId="22" xfId="50" applyFont="1" applyBorder="1" applyAlignment="1">
      <alignment vertical="top"/>
    </xf>
    <xf numFmtId="171" fontId="5" fillId="0" borderId="46" xfId="50" applyFont="1" applyBorder="1" applyAlignment="1">
      <alignment vertical="top"/>
    </xf>
    <xf numFmtId="171" fontId="5" fillId="0" borderId="23" xfId="50" applyFont="1" applyBorder="1" applyAlignment="1">
      <alignment vertical="top"/>
    </xf>
    <xf numFmtId="171" fontId="6" fillId="0" borderId="47" xfId="50" applyFont="1" applyBorder="1" applyAlignment="1">
      <alignment vertical="top"/>
    </xf>
    <xf numFmtId="171" fontId="6" fillId="0" borderId="25" xfId="50" applyFont="1" applyBorder="1" applyAlignment="1">
      <alignment vertical="top"/>
    </xf>
    <xf numFmtId="171" fontId="5" fillId="0" borderId="48" xfId="50" applyFont="1" applyBorder="1" applyAlignment="1">
      <alignment vertical="top"/>
    </xf>
    <xf numFmtId="171" fontId="6" fillId="0" borderId="13" xfId="50" applyFont="1" applyBorder="1" applyAlignment="1">
      <alignment vertical="top"/>
    </xf>
    <xf numFmtId="171" fontId="5" fillId="0" borderId="49" xfId="50" applyFont="1" applyBorder="1" applyAlignment="1">
      <alignment vertical="top"/>
    </xf>
    <xf numFmtId="171" fontId="6" fillId="0" borderId="30" xfId="50" applyFont="1" applyBorder="1" applyAlignment="1">
      <alignment vertical="top"/>
    </xf>
    <xf numFmtId="171" fontId="6" fillId="0" borderId="27" xfId="50" applyFont="1" applyBorder="1" applyAlignment="1">
      <alignment vertical="top"/>
    </xf>
    <xf numFmtId="171" fontId="5" fillId="0" borderId="50" xfId="50" applyFont="1" applyBorder="1" applyAlignment="1">
      <alignment vertical="top"/>
    </xf>
    <xf numFmtId="171" fontId="5" fillId="0" borderId="27" xfId="50" applyFont="1" applyBorder="1" applyAlignment="1">
      <alignment vertical="top"/>
    </xf>
    <xf numFmtId="171" fontId="5" fillId="0" borderId="51" xfId="50" applyFont="1" applyBorder="1" applyAlignment="1">
      <alignment vertical="top"/>
    </xf>
    <xf numFmtId="171" fontId="5" fillId="0" borderId="28" xfId="50" applyFont="1" applyBorder="1" applyAlignment="1">
      <alignment vertical="top"/>
    </xf>
    <xf numFmtId="171" fontId="6" fillId="0" borderId="52" xfId="50" applyFont="1" applyBorder="1" applyAlignment="1">
      <alignment vertical="top"/>
    </xf>
    <xf numFmtId="171" fontId="6" fillId="0" borderId="11" xfId="50" applyFont="1" applyBorder="1" applyAlignment="1">
      <alignment vertical="top"/>
    </xf>
    <xf numFmtId="171" fontId="6" fillId="0" borderId="12" xfId="50" applyFont="1" applyBorder="1" applyAlignment="1">
      <alignment vertical="top"/>
    </xf>
    <xf numFmtId="171" fontId="6" fillId="0" borderId="46" xfId="50" applyFont="1" applyBorder="1" applyAlignment="1">
      <alignment vertical="top"/>
    </xf>
    <xf numFmtId="171" fontId="6" fillId="0" borderId="23" xfId="50" applyFont="1" applyBorder="1" applyAlignment="1">
      <alignment vertical="top"/>
    </xf>
    <xf numFmtId="171" fontId="5" fillId="0" borderId="25" xfId="50" applyFont="1" applyBorder="1" applyAlignment="1">
      <alignment vertical="top"/>
    </xf>
    <xf numFmtId="171" fontId="5" fillId="22" borderId="48" xfId="50" applyFont="1" applyFill="1" applyBorder="1" applyAlignment="1">
      <alignment vertical="top"/>
    </xf>
    <xf numFmtId="171" fontId="5" fillId="0" borderId="13" xfId="50" applyFont="1" applyBorder="1" applyAlignment="1">
      <alignment vertical="top"/>
    </xf>
    <xf numFmtId="171" fontId="5" fillId="22" borderId="25" xfId="50" applyFont="1" applyFill="1" applyBorder="1" applyAlignment="1">
      <alignment vertical="top"/>
    </xf>
    <xf numFmtId="171" fontId="5" fillId="22" borderId="49" xfId="50" applyFont="1" applyFill="1" applyBorder="1" applyAlignment="1">
      <alignment vertical="top"/>
    </xf>
    <xf numFmtId="171" fontId="5" fillId="0" borderId="10" xfId="50" applyFont="1" applyBorder="1" applyAlignment="1">
      <alignment vertical="top"/>
    </xf>
    <xf numFmtId="171" fontId="5" fillId="22" borderId="30" xfId="50" applyFont="1" applyFill="1" applyBorder="1" applyAlignment="1">
      <alignment vertical="top"/>
    </xf>
    <xf numFmtId="171" fontId="5" fillId="22" borderId="10" xfId="50" applyFont="1" applyFill="1" applyBorder="1" applyAlignment="1">
      <alignment vertical="top"/>
    </xf>
    <xf numFmtId="171" fontId="5" fillId="22" borderId="13" xfId="50" applyFont="1" applyFill="1" applyBorder="1" applyAlignment="1">
      <alignment vertical="top"/>
    </xf>
    <xf numFmtId="171" fontId="6" fillId="22" borderId="50" xfId="50" applyFont="1" applyFill="1" applyBorder="1" applyAlignment="1">
      <alignment vertical="top"/>
    </xf>
    <xf numFmtId="171" fontId="6" fillId="22" borderId="53" xfId="50" applyFont="1" applyFill="1" applyBorder="1" applyAlignment="1">
      <alignment vertical="top"/>
    </xf>
    <xf numFmtId="171" fontId="6" fillId="22" borderId="54" xfId="50" applyFont="1" applyFill="1" applyBorder="1" applyAlignment="1">
      <alignment vertical="top"/>
    </xf>
    <xf numFmtId="171" fontId="6" fillId="0" borderId="55" xfId="50" applyFont="1" applyBorder="1" applyAlignment="1">
      <alignment vertical="top"/>
    </xf>
    <xf numFmtId="171" fontId="6" fillId="22" borderId="56" xfId="50" applyFont="1" applyFill="1" applyBorder="1" applyAlignment="1">
      <alignment vertical="top"/>
    </xf>
    <xf numFmtId="171" fontId="6" fillId="22" borderId="55" xfId="50" applyFont="1" applyFill="1" applyBorder="1" applyAlignment="1">
      <alignment vertical="top"/>
    </xf>
    <xf numFmtId="171" fontId="6" fillId="22" borderId="57" xfId="50" applyFont="1" applyFill="1" applyBorder="1" applyAlignment="1">
      <alignment vertical="top"/>
    </xf>
    <xf numFmtId="183" fontId="5" fillId="0" borderId="25" xfId="50" applyNumberFormat="1" applyFont="1" applyBorder="1" applyAlignment="1">
      <alignment vertical="top"/>
    </xf>
    <xf numFmtId="183" fontId="5" fillId="0" borderId="49" xfId="50" applyNumberFormat="1" applyFont="1" applyBorder="1" applyAlignment="1">
      <alignment vertical="top"/>
    </xf>
    <xf numFmtId="183" fontId="5" fillId="0" borderId="27" xfId="50" applyNumberFormat="1" applyFont="1" applyBorder="1" applyAlignment="1">
      <alignment vertical="top"/>
    </xf>
    <xf numFmtId="183" fontId="5" fillId="0" borderId="51" xfId="50" applyNumberFormat="1" applyFont="1" applyBorder="1" applyAlignment="1">
      <alignment vertical="top"/>
    </xf>
    <xf numFmtId="183" fontId="6" fillId="0" borderId="22" xfId="50" applyNumberFormat="1" applyFont="1" applyBorder="1" applyAlignment="1">
      <alignment vertical="top"/>
    </xf>
    <xf numFmtId="183" fontId="6" fillId="0" borderId="46" xfId="50" applyNumberFormat="1" applyFont="1" applyBorder="1" applyAlignment="1">
      <alignment vertical="top"/>
    </xf>
    <xf numFmtId="183" fontId="5" fillId="0" borderId="25" xfId="50" applyNumberFormat="1" applyFont="1" applyBorder="1" applyAlignment="1">
      <alignment vertical="top"/>
    </xf>
    <xf numFmtId="183" fontId="5" fillId="0" borderId="49" xfId="50" applyNumberFormat="1" applyFont="1" applyBorder="1" applyAlignment="1">
      <alignment vertical="top"/>
    </xf>
    <xf numFmtId="183" fontId="6" fillId="0" borderId="53" xfId="50" applyNumberFormat="1" applyFont="1" applyBorder="1" applyAlignment="1">
      <alignment vertical="top"/>
    </xf>
    <xf numFmtId="183" fontId="6" fillId="0" borderId="54" xfId="50" applyNumberFormat="1" applyFont="1" applyBorder="1" applyAlignment="1">
      <alignment vertical="top"/>
    </xf>
    <xf numFmtId="183" fontId="5" fillId="0" borderId="11" xfId="50" applyNumberFormat="1" applyFont="1" applyBorder="1" applyAlignment="1">
      <alignment vertical="top"/>
    </xf>
    <xf numFmtId="183" fontId="5" fillId="0" borderId="58" xfId="50" applyNumberFormat="1" applyFont="1" applyBorder="1" applyAlignment="1">
      <alignment vertical="top"/>
    </xf>
    <xf numFmtId="183" fontId="5" fillId="0" borderId="12" xfId="50" applyNumberFormat="1" applyFont="1" applyBorder="1" applyAlignment="1">
      <alignment vertical="top"/>
    </xf>
    <xf numFmtId="183" fontId="5" fillId="0" borderId="48" xfId="50" applyNumberFormat="1" applyFont="1" applyBorder="1" applyAlignment="1">
      <alignment vertical="top"/>
    </xf>
    <xf numFmtId="183" fontId="5" fillId="0" borderId="50" xfId="50" applyNumberFormat="1" applyFont="1" applyBorder="1" applyAlignment="1">
      <alignment vertical="top"/>
    </xf>
    <xf numFmtId="183" fontId="6" fillId="0" borderId="45" xfId="50" applyNumberFormat="1" applyFont="1" applyBorder="1" applyAlignment="1">
      <alignment vertical="top"/>
    </xf>
    <xf numFmtId="183" fontId="5" fillId="0" borderId="48" xfId="50" applyNumberFormat="1" applyFont="1" applyBorder="1" applyAlignment="1">
      <alignment vertical="top"/>
    </xf>
    <xf numFmtId="183" fontId="6" fillId="0" borderId="59" xfId="50" applyNumberFormat="1" applyFont="1" applyBorder="1" applyAlignment="1">
      <alignment vertical="top"/>
    </xf>
    <xf numFmtId="183" fontId="6" fillId="0" borderId="43" xfId="50" applyNumberFormat="1" applyFont="1" applyBorder="1" applyAlignment="1">
      <alignment vertical="top"/>
    </xf>
    <xf numFmtId="183" fontId="6" fillId="0" borderId="40" xfId="50" applyNumberFormat="1" applyFont="1" applyBorder="1" applyAlignment="1">
      <alignment vertical="top"/>
    </xf>
    <xf numFmtId="183" fontId="5" fillId="0" borderId="13" xfId="50" applyNumberFormat="1" applyFont="1" applyBorder="1" applyAlignment="1">
      <alignment vertical="top"/>
    </xf>
    <xf numFmtId="183" fontId="6" fillId="0" borderId="57" xfId="50" applyNumberFormat="1" applyFont="1" applyBorder="1" applyAlignment="1">
      <alignment vertical="top"/>
    </xf>
    <xf numFmtId="0" fontId="8" fillId="0" borderId="0" xfId="0" applyFont="1" applyBorder="1" applyAlignment="1" applyProtection="1">
      <alignment horizontal="center" vertical="center"/>
      <protection/>
    </xf>
    <xf numFmtId="14" fontId="6" fillId="24" borderId="49" xfId="0" applyNumberFormat="1" applyFont="1" applyFill="1" applyBorder="1" applyAlignment="1" applyProtection="1">
      <alignment horizontal="center" vertical="top"/>
      <protection locked="0"/>
    </xf>
    <xf numFmtId="0" fontId="6" fillId="24" borderId="11" xfId="0" applyFont="1" applyFill="1" applyBorder="1" applyAlignment="1" applyProtection="1">
      <alignment horizontal="center" vertical="top"/>
      <protection locked="0"/>
    </xf>
    <xf numFmtId="4" fontId="5" fillId="24" borderId="31" xfId="0" applyNumberFormat="1" applyFont="1" applyFill="1" applyBorder="1" applyAlignment="1" applyProtection="1">
      <alignment/>
      <protection locked="0"/>
    </xf>
    <xf numFmtId="171" fontId="5" fillId="24" borderId="47" xfId="50" applyFont="1" applyFill="1" applyBorder="1" applyAlignment="1" applyProtection="1">
      <alignment vertical="top"/>
      <protection locked="0"/>
    </xf>
    <xf numFmtId="171" fontId="5" fillId="24" borderId="30" xfId="50" applyFont="1" applyFill="1" applyBorder="1" applyAlignment="1" applyProtection="1">
      <alignment vertical="top"/>
      <protection locked="0"/>
    </xf>
    <xf numFmtId="171" fontId="5" fillId="24" borderId="52" xfId="50" applyFont="1" applyFill="1" applyBorder="1" applyAlignment="1" applyProtection="1">
      <alignment vertical="top"/>
      <protection locked="0"/>
    </xf>
    <xf numFmtId="4" fontId="5" fillId="24" borderId="31" xfId="50" applyNumberFormat="1" applyFont="1" applyFill="1" applyBorder="1" applyAlignment="1" applyProtection="1">
      <alignment/>
      <protection locked="0"/>
    </xf>
    <xf numFmtId="4" fontId="5" fillId="24" borderId="30" xfId="0" applyNumberFormat="1" applyFont="1" applyFill="1" applyBorder="1" applyAlignment="1" applyProtection="1">
      <alignment/>
      <protection locked="0"/>
    </xf>
    <xf numFmtId="0" fontId="5" fillId="24" borderId="43" xfId="0" applyFont="1" applyFill="1" applyBorder="1" applyAlignment="1" applyProtection="1">
      <alignment vertical="top"/>
      <protection locked="0"/>
    </xf>
    <xf numFmtId="171" fontId="6" fillId="24" borderId="49" xfId="50" applyNumberFormat="1" applyFont="1" applyFill="1" applyBorder="1" applyAlignment="1" applyProtection="1">
      <alignment vertical="top"/>
      <protection locked="0"/>
    </xf>
    <xf numFmtId="1" fontId="6" fillId="8" borderId="49" xfId="0" applyNumberFormat="1" applyFont="1" applyFill="1" applyBorder="1" applyAlignment="1">
      <alignment vertical="top"/>
    </xf>
    <xf numFmtId="0" fontId="7" fillId="0" borderId="0" xfId="0" applyFont="1" applyFill="1" applyBorder="1" applyAlignment="1" applyProtection="1">
      <alignment/>
      <protection/>
    </xf>
    <xf numFmtId="171" fontId="6" fillId="0" borderId="0" xfId="50" applyFont="1" applyBorder="1" applyAlignment="1">
      <alignment vertical="top"/>
    </xf>
    <xf numFmtId="1" fontId="6" fillId="0" borderId="0" xfId="0" applyNumberFormat="1" applyFont="1" applyFill="1" applyBorder="1" applyAlignment="1">
      <alignment vertical="top"/>
    </xf>
    <xf numFmtId="0" fontId="6" fillId="0" borderId="0" xfId="0" applyFont="1" applyFill="1" applyBorder="1" applyAlignment="1">
      <alignment/>
    </xf>
    <xf numFmtId="171" fontId="6" fillId="0" borderId="0" xfId="50" applyFont="1" applyFill="1" applyBorder="1" applyAlignment="1">
      <alignment vertical="top"/>
    </xf>
    <xf numFmtId="0" fontId="6" fillId="0" borderId="0" xfId="0" applyFont="1" applyFill="1" applyBorder="1" applyAlignment="1">
      <alignment vertical="top"/>
    </xf>
    <xf numFmtId="193" fontId="6" fillId="0" borderId="0" xfId="0" applyNumberFormat="1" applyFont="1" applyBorder="1" applyAlignment="1" applyProtection="1">
      <alignment horizontal="right"/>
      <protection/>
    </xf>
    <xf numFmtId="0" fontId="5" fillId="0" borderId="0" xfId="0" applyFont="1" applyAlignment="1">
      <alignment/>
    </xf>
    <xf numFmtId="1" fontId="6" fillId="8" borderId="49" xfId="0" applyNumberFormat="1" applyFont="1" applyFill="1" applyBorder="1" applyAlignment="1">
      <alignment/>
    </xf>
    <xf numFmtId="0" fontId="5" fillId="0" borderId="0" xfId="0" applyFont="1" applyBorder="1" applyAlignment="1">
      <alignment/>
    </xf>
    <xf numFmtId="1" fontId="5" fillId="0" borderId="0" xfId="50" applyNumberFormat="1" applyFont="1" applyBorder="1" applyAlignment="1">
      <alignment/>
    </xf>
    <xf numFmtId="0" fontId="6" fillId="0" borderId="36" xfId="0" applyFont="1" applyBorder="1" applyAlignment="1" applyProtection="1">
      <alignment horizontal="center"/>
      <protection/>
    </xf>
    <xf numFmtId="190" fontId="7" fillId="0" borderId="31" xfId="0" applyNumberFormat="1" applyFont="1" applyBorder="1" applyAlignment="1" applyProtection="1">
      <alignment horizontal="center"/>
      <protection/>
    </xf>
    <xf numFmtId="14" fontId="5" fillId="24" borderId="31" xfId="0" applyNumberFormat="1" applyFont="1" applyFill="1" applyBorder="1" applyAlignment="1" applyProtection="1">
      <alignment horizontal="center"/>
      <protection locked="0"/>
    </xf>
    <xf numFmtId="1" fontId="5" fillId="0" borderId="30" xfId="0" applyNumberFormat="1" applyFont="1" applyBorder="1" applyAlignment="1" applyProtection="1">
      <alignment horizontal="center"/>
      <protection/>
    </xf>
    <xf numFmtId="1" fontId="6" fillId="0" borderId="30" xfId="0" applyNumberFormat="1" applyFont="1" applyBorder="1" applyAlignment="1" applyProtection="1">
      <alignment horizontal="center"/>
      <protection/>
    </xf>
    <xf numFmtId="0" fontId="5" fillId="22" borderId="11" xfId="0" applyFont="1" applyFill="1" applyBorder="1" applyAlignment="1" applyProtection="1">
      <alignment horizontal="center" vertical="top"/>
      <protection/>
    </xf>
    <xf numFmtId="171" fontId="5" fillId="22" borderId="12" xfId="50" applyFont="1" applyFill="1" applyBorder="1" applyAlignment="1" applyProtection="1">
      <alignment vertical="top"/>
      <protection/>
    </xf>
    <xf numFmtId="0" fontId="0" fillId="24" borderId="60" xfId="0" applyFont="1" applyFill="1" applyBorder="1" applyAlignment="1" applyProtection="1">
      <alignment vertical="top"/>
      <protection/>
    </xf>
    <xf numFmtId="0" fontId="6" fillId="0" borderId="0" xfId="0" applyFont="1" applyBorder="1" applyAlignment="1" applyProtection="1">
      <alignment horizontal="right" vertical="top"/>
      <protection/>
    </xf>
    <xf numFmtId="1" fontId="6" fillId="8" borderId="49" xfId="0" applyNumberFormat="1" applyFont="1" applyFill="1" applyBorder="1" applyAlignment="1" applyProtection="1">
      <alignment vertical="top"/>
      <protection/>
    </xf>
    <xf numFmtId="0" fontId="5" fillId="24" borderId="11" xfId="0" applyFont="1" applyFill="1" applyBorder="1" applyAlignment="1" applyProtection="1">
      <alignment horizontal="center" vertical="top"/>
      <protection/>
    </xf>
    <xf numFmtId="1" fontId="5" fillId="0" borderId="0" xfId="0" applyNumberFormat="1" applyFont="1" applyBorder="1" applyAlignment="1" applyProtection="1">
      <alignment horizontal="right"/>
      <protection/>
    </xf>
    <xf numFmtId="4" fontId="5" fillId="24" borderId="30" xfId="0" applyNumberFormat="1" applyFont="1" applyFill="1" applyBorder="1" applyAlignment="1" applyProtection="1">
      <alignment/>
      <protection/>
    </xf>
    <xf numFmtId="4" fontId="5" fillId="24" borderId="31" xfId="50" applyNumberFormat="1" applyFont="1" applyFill="1" applyBorder="1" applyAlignment="1" applyProtection="1">
      <alignment/>
      <protection/>
    </xf>
    <xf numFmtId="14" fontId="5" fillId="24" borderId="31" xfId="0" applyNumberFormat="1" applyFont="1" applyFill="1" applyBorder="1" applyAlignment="1" applyProtection="1">
      <alignment horizontal="center"/>
      <protection/>
    </xf>
    <xf numFmtId="0" fontId="5" fillId="24" borderId="13" xfId="0" applyFont="1" applyFill="1" applyBorder="1" applyAlignment="1" applyProtection="1">
      <alignment vertical="top"/>
      <protection locked="0"/>
    </xf>
    <xf numFmtId="0" fontId="5" fillId="24" borderId="14" xfId="0" applyFont="1" applyFill="1" applyBorder="1" applyAlignment="1" applyProtection="1">
      <alignment vertical="top"/>
      <protection locked="0"/>
    </xf>
    <xf numFmtId="1" fontId="10" fillId="0" borderId="15" xfId="0" applyNumberFormat="1" applyFont="1" applyFill="1" applyBorder="1" applyAlignment="1">
      <alignment horizontal="center" vertical="top"/>
    </xf>
    <xf numFmtId="2" fontId="10" fillId="0" borderId="61" xfId="0" applyNumberFormat="1" applyFont="1" applyFill="1" applyBorder="1" applyAlignment="1">
      <alignment vertical="top"/>
    </xf>
    <xf numFmtId="3" fontId="10" fillId="0" borderId="42" xfId="0" applyNumberFormat="1" applyFont="1" applyFill="1" applyBorder="1" applyAlignment="1">
      <alignment vertical="top"/>
    </xf>
    <xf numFmtId="0" fontId="0" fillId="0" borderId="0" xfId="0" applyFill="1" applyAlignment="1">
      <alignment/>
    </xf>
    <xf numFmtId="1" fontId="6" fillId="0" borderId="22" xfId="0" applyNumberFormat="1" applyFont="1" applyFill="1" applyBorder="1" applyAlignment="1">
      <alignment vertical="top"/>
    </xf>
    <xf numFmtId="3" fontId="5" fillId="0" borderId="45" xfId="0" applyNumberFormat="1" applyFont="1" applyFill="1" applyBorder="1" applyAlignment="1">
      <alignment vertical="top" wrapText="1"/>
    </xf>
    <xf numFmtId="1" fontId="5" fillId="0" borderId="24" xfId="50" applyNumberFormat="1" applyFont="1" applyFill="1" applyBorder="1" applyAlignment="1">
      <alignment vertical="top" wrapText="1"/>
    </xf>
    <xf numFmtId="0" fontId="5" fillId="0" borderId="0" xfId="0" applyFont="1" applyFill="1" applyAlignment="1">
      <alignment/>
    </xf>
    <xf numFmtId="1" fontId="6" fillId="0" borderId="25" xfId="0" applyNumberFormat="1" applyFont="1" applyFill="1" applyBorder="1" applyAlignment="1">
      <alignment vertical="top"/>
    </xf>
    <xf numFmtId="3" fontId="5" fillId="0" borderId="48" xfId="0" applyNumberFormat="1" applyFont="1" applyFill="1" applyBorder="1" applyAlignment="1">
      <alignment vertical="top" wrapText="1"/>
    </xf>
    <xf numFmtId="1" fontId="5" fillId="0" borderId="26" xfId="50" applyNumberFormat="1" applyFont="1" applyFill="1" applyBorder="1" applyAlignment="1">
      <alignment vertical="top" wrapText="1"/>
    </xf>
    <xf numFmtId="1" fontId="6" fillId="0" borderId="62" xfId="0" applyNumberFormat="1" applyFont="1" applyFill="1" applyBorder="1" applyAlignment="1">
      <alignment vertical="top"/>
    </xf>
    <xf numFmtId="1" fontId="6" fillId="0" borderId="27" xfId="0" applyNumberFormat="1" applyFont="1" applyFill="1" applyBorder="1" applyAlignment="1">
      <alignment vertical="top"/>
    </xf>
    <xf numFmtId="3" fontId="5" fillId="0" borderId="50" xfId="0" applyNumberFormat="1" applyFont="1" applyFill="1" applyBorder="1" applyAlignment="1">
      <alignment vertical="top" wrapText="1"/>
    </xf>
    <xf numFmtId="1" fontId="5" fillId="0" borderId="29" xfId="50" applyNumberFormat="1" applyFont="1" applyFill="1" applyBorder="1" applyAlignment="1">
      <alignment vertical="top" wrapText="1"/>
    </xf>
    <xf numFmtId="1" fontId="5" fillId="0" borderId="48" xfId="50" applyNumberFormat="1" applyFont="1" applyFill="1" applyBorder="1" applyAlignment="1">
      <alignment vertical="top" wrapText="1"/>
    </xf>
    <xf numFmtId="3" fontId="5" fillId="0" borderId="63" xfId="0" applyNumberFormat="1" applyFont="1" applyFill="1" applyBorder="1" applyAlignment="1">
      <alignment vertical="top" wrapText="1"/>
    </xf>
    <xf numFmtId="1" fontId="5" fillId="0" borderId="64" xfId="50" applyNumberFormat="1" applyFont="1" applyFill="1" applyBorder="1" applyAlignment="1">
      <alignment vertical="top" wrapText="1"/>
    </xf>
    <xf numFmtId="0" fontId="5" fillId="0" borderId="45" xfId="0" applyFont="1" applyFill="1" applyBorder="1" applyAlignment="1">
      <alignment vertical="top" wrapText="1"/>
    </xf>
    <xf numFmtId="0" fontId="5" fillId="0" borderId="48" xfId="0" applyFont="1" applyFill="1" applyBorder="1" applyAlignment="1">
      <alignment vertical="top" wrapText="1"/>
    </xf>
    <xf numFmtId="3" fontId="5" fillId="0" borderId="47" xfId="0" applyNumberFormat="1" applyFont="1" applyFill="1" applyBorder="1" applyAlignment="1">
      <alignment vertical="top" wrapText="1"/>
    </xf>
    <xf numFmtId="3" fontId="5" fillId="0" borderId="24" xfId="0" applyNumberFormat="1" applyFont="1" applyFill="1" applyBorder="1" applyAlignment="1">
      <alignment vertical="top" wrapText="1"/>
    </xf>
    <xf numFmtId="3" fontId="5" fillId="0" borderId="30" xfId="0" applyNumberFormat="1" applyFont="1" applyFill="1" applyBorder="1" applyAlignment="1">
      <alignment vertical="top" wrapText="1"/>
    </xf>
    <xf numFmtId="3" fontId="5" fillId="0" borderId="26" xfId="0" applyNumberFormat="1" applyFont="1" applyFill="1" applyBorder="1" applyAlignment="1">
      <alignment vertical="top" wrapText="1"/>
    </xf>
    <xf numFmtId="3" fontId="5" fillId="0" borderId="52" xfId="0" applyNumberFormat="1" applyFont="1" applyFill="1" applyBorder="1" applyAlignment="1">
      <alignment vertical="top" wrapText="1"/>
    </xf>
    <xf numFmtId="3" fontId="5" fillId="0" borderId="29" xfId="0" applyNumberFormat="1" applyFont="1" applyFill="1" applyBorder="1" applyAlignment="1">
      <alignment vertical="top" wrapText="1"/>
    </xf>
    <xf numFmtId="1" fontId="4" fillId="0" borderId="0" xfId="0" applyNumberFormat="1" applyFont="1" applyFill="1" applyBorder="1" applyAlignment="1">
      <alignment vertical="top"/>
    </xf>
    <xf numFmtId="3" fontId="0" fillId="0" borderId="0" xfId="0" applyNumberFormat="1" applyFill="1" applyBorder="1" applyAlignment="1">
      <alignment vertical="top"/>
    </xf>
    <xf numFmtId="0" fontId="6" fillId="26" borderId="49" xfId="0" applyFont="1" applyFill="1" applyBorder="1" applyAlignment="1" applyProtection="1">
      <alignment horizontal="center" vertical="top"/>
      <protection/>
    </xf>
    <xf numFmtId="1" fontId="5" fillId="0" borderId="0" xfId="0" applyNumberFormat="1" applyFont="1" applyBorder="1" applyAlignment="1">
      <alignment vertical="top"/>
    </xf>
    <xf numFmtId="1" fontId="5" fillId="0" borderId="0" xfId="0" applyNumberFormat="1" applyFont="1" applyAlignment="1" applyProtection="1">
      <alignment vertical="top"/>
      <protection/>
    </xf>
    <xf numFmtId="1" fontId="6" fillId="8" borderId="33" xfId="0" applyNumberFormat="1" applyFont="1" applyFill="1" applyBorder="1" applyAlignment="1">
      <alignment vertical="top"/>
    </xf>
    <xf numFmtId="1" fontId="6" fillId="8" borderId="34" xfId="0" applyNumberFormat="1" applyFont="1" applyFill="1" applyBorder="1" applyAlignment="1">
      <alignment vertical="top"/>
    </xf>
    <xf numFmtId="1" fontId="6" fillId="8" borderId="35" xfId="0" applyNumberFormat="1" applyFont="1" applyFill="1" applyBorder="1" applyAlignment="1">
      <alignment vertical="top"/>
    </xf>
    <xf numFmtId="2" fontId="13" fillId="0" borderId="0" xfId="0" applyNumberFormat="1" applyFont="1" applyBorder="1" applyAlignment="1">
      <alignment horizontal="center" wrapText="1"/>
    </xf>
    <xf numFmtId="0" fontId="14" fillId="0" borderId="0" xfId="0" applyFont="1" applyAlignment="1">
      <alignment/>
    </xf>
    <xf numFmtId="171" fontId="14" fillId="0" borderId="0" xfId="50" applyFont="1" applyBorder="1" applyAlignment="1">
      <alignment/>
    </xf>
    <xf numFmtId="0" fontId="14" fillId="0" borderId="0" xfId="0" applyFont="1" applyAlignment="1">
      <alignment/>
    </xf>
    <xf numFmtId="171" fontId="5" fillId="0" borderId="0" xfId="50" applyFont="1" applyBorder="1" applyAlignment="1">
      <alignment/>
    </xf>
    <xf numFmtId="0" fontId="6" fillId="0" borderId="15" xfId="0" applyFont="1" applyBorder="1" applyAlignment="1">
      <alignment horizontal="center"/>
    </xf>
    <xf numFmtId="2" fontId="13" fillId="0" borderId="17" xfId="0" applyNumberFormat="1" applyFont="1" applyBorder="1" applyAlignment="1">
      <alignment horizontal="center" wrapText="1"/>
    </xf>
    <xf numFmtId="0" fontId="6" fillId="0" borderId="39" xfId="0" applyFont="1" applyBorder="1" applyAlignment="1">
      <alignment horizontal="center"/>
    </xf>
    <xf numFmtId="1" fontId="5" fillId="0" borderId="0" xfId="50" applyNumberFormat="1" applyFont="1" applyBorder="1" applyAlignment="1" applyProtection="1">
      <alignment/>
      <protection locked="0"/>
    </xf>
    <xf numFmtId="2" fontId="13" fillId="0" borderId="65" xfId="0" applyNumberFormat="1" applyFont="1" applyBorder="1" applyAlignment="1">
      <alignment horizontal="center" wrapText="1"/>
    </xf>
    <xf numFmtId="2" fontId="6" fillId="0" borderId="17" xfId="0" applyNumberFormat="1" applyFont="1" applyBorder="1" applyAlignment="1">
      <alignment horizontal="center" wrapText="1"/>
    </xf>
    <xf numFmtId="0" fontId="5" fillId="0" borderId="23" xfId="0" applyFont="1" applyBorder="1" applyAlignment="1">
      <alignment/>
    </xf>
    <xf numFmtId="0" fontId="5" fillId="0" borderId="10" xfId="0" applyFont="1" applyBorder="1" applyAlignment="1">
      <alignment/>
    </xf>
    <xf numFmtId="0" fontId="5" fillId="0" borderId="28" xfId="0" applyFont="1" applyBorder="1" applyAlignment="1">
      <alignment/>
    </xf>
    <xf numFmtId="1" fontId="5" fillId="24" borderId="66" xfId="50" applyNumberFormat="1" applyFont="1" applyFill="1" applyBorder="1" applyAlignment="1">
      <alignment/>
    </xf>
    <xf numFmtId="1" fontId="5" fillId="24" borderId="67" xfId="50" applyNumberFormat="1" applyFont="1" applyFill="1" applyBorder="1" applyAlignment="1">
      <alignment/>
    </xf>
    <xf numFmtId="1" fontId="5" fillId="24" borderId="68" xfId="50" applyNumberFormat="1" applyFont="1" applyFill="1" applyBorder="1" applyAlignment="1">
      <alignment/>
    </xf>
    <xf numFmtId="1" fontId="5" fillId="24" borderId="28" xfId="50" applyNumberFormat="1" applyFont="1" applyFill="1" applyBorder="1" applyAlignment="1">
      <alignment/>
    </xf>
    <xf numFmtId="0" fontId="5" fillId="24" borderId="69" xfId="0" applyFont="1" applyFill="1" applyBorder="1" applyAlignment="1">
      <alignment/>
    </xf>
    <xf numFmtId="182" fontId="5" fillId="24" borderId="23" xfId="0" applyNumberFormat="1" applyFont="1" applyFill="1" applyBorder="1" applyAlignment="1">
      <alignment/>
    </xf>
    <xf numFmtId="0" fontId="5" fillId="24" borderId="70" xfId="0" applyFont="1" applyFill="1" applyBorder="1" applyAlignment="1">
      <alignment/>
    </xf>
    <xf numFmtId="182" fontId="5" fillId="24" borderId="10" xfId="0" applyNumberFormat="1" applyFont="1" applyFill="1" applyBorder="1" applyAlignment="1">
      <alignment/>
    </xf>
    <xf numFmtId="0" fontId="5" fillId="24" borderId="68" xfId="0" applyFont="1" applyFill="1" applyBorder="1" applyAlignment="1">
      <alignment/>
    </xf>
    <xf numFmtId="182" fontId="5" fillId="24" borderId="28" xfId="0" applyNumberFormat="1" applyFont="1" applyFill="1" applyBorder="1" applyAlignment="1">
      <alignment/>
    </xf>
    <xf numFmtId="0" fontId="11" fillId="0" borderId="0" xfId="0" applyFont="1" applyFill="1" applyAlignment="1" applyProtection="1">
      <alignment horizontal="center" vertical="top"/>
      <protection/>
    </xf>
    <xf numFmtId="0" fontId="6" fillId="0" borderId="0" xfId="0" applyFont="1" applyAlignment="1" applyProtection="1">
      <alignment horizontal="center" vertical="top"/>
      <protection/>
    </xf>
    <xf numFmtId="0" fontId="5" fillId="0" borderId="0" xfId="0" applyFont="1" applyFill="1" applyAlignment="1" applyProtection="1">
      <alignment vertical="top"/>
      <protection/>
    </xf>
    <xf numFmtId="14" fontId="6" fillId="0" borderId="49" xfId="0" applyNumberFormat="1" applyFont="1" applyFill="1" applyBorder="1" applyAlignment="1" applyProtection="1">
      <alignment horizontal="center" vertical="top"/>
      <protection/>
    </xf>
    <xf numFmtId="0" fontId="5" fillId="0" borderId="0" xfId="0" applyFont="1" applyAlignment="1" applyProtection="1">
      <alignment horizontal="center" vertical="top"/>
      <protection/>
    </xf>
    <xf numFmtId="171" fontId="6" fillId="0" borderId="49" xfId="50" applyNumberFormat="1" applyFont="1" applyBorder="1" applyAlignment="1" applyProtection="1">
      <alignment horizontal="center" vertical="top"/>
      <protection/>
    </xf>
    <xf numFmtId="171" fontId="5" fillId="0" borderId="49" xfId="50" applyNumberFormat="1" applyFont="1" applyBorder="1" applyAlignment="1" applyProtection="1">
      <alignment vertical="top"/>
      <protection/>
    </xf>
    <xf numFmtId="1" fontId="6" fillId="0" borderId="0" xfId="0" applyNumberFormat="1" applyFont="1" applyBorder="1" applyAlignment="1" applyProtection="1">
      <alignment horizontal="right"/>
      <protection/>
    </xf>
    <xf numFmtId="0" fontId="6" fillId="0" borderId="49" xfId="0" applyFont="1" applyBorder="1" applyAlignment="1" applyProtection="1">
      <alignment horizontal="center" vertical="top"/>
      <protection/>
    </xf>
    <xf numFmtId="171" fontId="5" fillId="5" borderId="49" xfId="50" applyNumberFormat="1" applyFont="1" applyFill="1" applyBorder="1" applyAlignment="1" applyProtection="1">
      <alignment vertical="top"/>
      <protection/>
    </xf>
    <xf numFmtId="171" fontId="5" fillId="27" borderId="49" xfId="50" applyNumberFormat="1" applyFont="1" applyFill="1" applyBorder="1" applyAlignment="1" applyProtection="1">
      <alignment vertical="top"/>
      <protection/>
    </xf>
    <xf numFmtId="171" fontId="5" fillId="4" borderId="49" xfId="50" applyNumberFormat="1" applyFont="1" applyFill="1" applyBorder="1" applyAlignment="1" applyProtection="1">
      <alignment vertical="top"/>
      <protection/>
    </xf>
    <xf numFmtId="181" fontId="5" fillId="0" borderId="30" xfId="0" applyNumberFormat="1" applyFont="1" applyBorder="1" applyAlignment="1" applyProtection="1">
      <alignment horizontal="center"/>
      <protection/>
    </xf>
    <xf numFmtId="181" fontId="6" fillId="0" borderId="30" xfId="0" applyNumberFormat="1" applyFont="1" applyBorder="1" applyAlignment="1" applyProtection="1">
      <alignment horizontal="center"/>
      <protection/>
    </xf>
    <xf numFmtId="0" fontId="5" fillId="24" borderId="66" xfId="0" applyFont="1" applyFill="1" applyBorder="1" applyAlignment="1">
      <alignment/>
    </xf>
    <xf numFmtId="182" fontId="5" fillId="24" borderId="67" xfId="0" applyNumberFormat="1" applyFont="1" applyFill="1" applyBorder="1" applyAlignment="1">
      <alignment/>
    </xf>
    <xf numFmtId="2" fontId="13" fillId="0" borderId="56" xfId="0" applyNumberFormat="1" applyFont="1" applyBorder="1" applyAlignment="1">
      <alignment wrapText="1"/>
    </xf>
    <xf numFmtId="2" fontId="13" fillId="0" borderId="0" xfId="0" applyNumberFormat="1" applyFont="1" applyBorder="1" applyAlignment="1">
      <alignment wrapText="1"/>
    </xf>
    <xf numFmtId="0" fontId="5" fillId="24" borderId="58" xfId="0" applyFont="1" applyFill="1" applyBorder="1" applyAlignment="1" applyProtection="1">
      <alignment horizontal="right" vertical="top"/>
      <protection locked="0"/>
    </xf>
    <xf numFmtId="0" fontId="5" fillId="24" borderId="67" xfId="0" applyFont="1" applyFill="1" applyBorder="1" applyAlignment="1" applyProtection="1">
      <alignment horizontal="right" vertical="top"/>
      <protection locked="0"/>
    </xf>
    <xf numFmtId="171" fontId="5" fillId="26" borderId="22" xfId="50" applyFont="1" applyFill="1" applyBorder="1" applyAlignment="1">
      <alignment horizontal="center"/>
    </xf>
    <xf numFmtId="171" fontId="5" fillId="26" borderId="46" xfId="50" applyFont="1" applyFill="1" applyBorder="1" applyAlignment="1">
      <alignment horizontal="center"/>
    </xf>
    <xf numFmtId="171" fontId="5" fillId="26" borderId="23" xfId="50" applyFont="1" applyFill="1" applyBorder="1" applyAlignment="1">
      <alignment horizontal="center"/>
    </xf>
    <xf numFmtId="171" fontId="5" fillId="26" borderId="25" xfId="50" applyFont="1" applyFill="1" applyBorder="1" applyAlignment="1">
      <alignment horizontal="center"/>
    </xf>
    <xf numFmtId="171" fontId="5" fillId="26" borderId="49" xfId="50" applyFont="1" applyFill="1" applyBorder="1" applyAlignment="1">
      <alignment horizontal="center"/>
    </xf>
    <xf numFmtId="171" fontId="5" fillId="26" borderId="10" xfId="50" applyFont="1" applyFill="1" applyBorder="1" applyAlignment="1">
      <alignment horizontal="center"/>
    </xf>
    <xf numFmtId="171" fontId="5" fillId="26" borderId="27" xfId="50" applyFont="1" applyFill="1" applyBorder="1" applyAlignment="1">
      <alignment horizontal="center"/>
    </xf>
    <xf numFmtId="171" fontId="5" fillId="26" borderId="51" xfId="50" applyFont="1" applyFill="1" applyBorder="1" applyAlignment="1">
      <alignment horizontal="center"/>
    </xf>
    <xf numFmtId="171" fontId="5" fillId="26" borderId="28" xfId="50" applyFont="1" applyFill="1" applyBorder="1" applyAlignment="1">
      <alignment horizontal="center"/>
    </xf>
    <xf numFmtId="0" fontId="5" fillId="0" borderId="0" xfId="0" applyFont="1" applyFill="1" applyAlignment="1" applyProtection="1">
      <alignment horizontal="center" vertical="top"/>
      <protection/>
    </xf>
    <xf numFmtId="0" fontId="5" fillId="0" borderId="0" xfId="0" applyFont="1" applyAlignment="1" applyProtection="1">
      <alignment vertical="top"/>
      <protection/>
    </xf>
    <xf numFmtId="2" fontId="5" fillId="0" borderId="0" xfId="0" applyNumberFormat="1" applyFont="1" applyBorder="1" applyAlignment="1">
      <alignment/>
    </xf>
    <xf numFmtId="182" fontId="5" fillId="0" borderId="0" xfId="0" applyNumberFormat="1" applyFont="1" applyBorder="1" applyAlignment="1">
      <alignment/>
    </xf>
    <xf numFmtId="0" fontId="5" fillId="0" borderId="0" xfId="0" applyFont="1" applyAlignment="1">
      <alignment/>
    </xf>
    <xf numFmtId="171" fontId="5" fillId="7" borderId="49" xfId="50" applyNumberFormat="1" applyFont="1" applyFill="1" applyBorder="1" applyAlignment="1" applyProtection="1">
      <alignment vertical="top"/>
      <protection/>
    </xf>
    <xf numFmtId="1" fontId="6" fillId="8" borderId="48" xfId="0" applyNumberFormat="1" applyFont="1" applyFill="1" applyBorder="1" applyAlignment="1">
      <alignment vertical="top"/>
    </xf>
    <xf numFmtId="186" fontId="6" fillId="0" borderId="18" xfId="50" applyNumberFormat="1" applyFont="1" applyBorder="1" applyAlignment="1" applyProtection="1">
      <alignment horizontal="center" vertical="top"/>
      <protection/>
    </xf>
    <xf numFmtId="0" fontId="6" fillId="0" borderId="30" xfId="0" applyFont="1" applyBorder="1" applyAlignment="1" applyProtection="1">
      <alignment horizontal="right"/>
      <protection/>
    </xf>
    <xf numFmtId="0" fontId="6" fillId="0" borderId="71" xfId="0" applyFont="1" applyBorder="1" applyAlignment="1" applyProtection="1">
      <alignment horizontal="right"/>
      <protection/>
    </xf>
    <xf numFmtId="1" fontId="5" fillId="0" borderId="71" xfId="0" applyNumberFormat="1" applyFont="1" applyBorder="1" applyAlignment="1" applyProtection="1">
      <alignment horizontal="center"/>
      <protection/>
    </xf>
    <xf numFmtId="1" fontId="6" fillId="0" borderId="71" xfId="0" applyNumberFormat="1" applyFont="1" applyBorder="1" applyAlignment="1" applyProtection="1">
      <alignment horizontal="center"/>
      <protection/>
    </xf>
    <xf numFmtId="0" fontId="6" fillId="0" borderId="60" xfId="0" applyFont="1" applyBorder="1" applyAlignment="1" applyProtection="1">
      <alignment/>
      <protection/>
    </xf>
    <xf numFmtId="0" fontId="0" fillId="0" borderId="0" xfId="0" applyFont="1" applyBorder="1" applyAlignment="1" applyProtection="1">
      <alignment/>
      <protection/>
    </xf>
    <xf numFmtId="0" fontId="5" fillId="0" borderId="72" xfId="0" applyFont="1" applyBorder="1" applyAlignment="1">
      <alignment/>
    </xf>
    <xf numFmtId="0" fontId="5" fillId="24" borderId="73" xfId="0" applyFont="1" applyFill="1" applyBorder="1" applyAlignment="1">
      <alignment/>
    </xf>
    <xf numFmtId="182" fontId="5" fillId="24" borderId="72" xfId="0" applyNumberFormat="1" applyFont="1" applyFill="1" applyBorder="1" applyAlignment="1">
      <alignment/>
    </xf>
    <xf numFmtId="1" fontId="6" fillId="8" borderId="49" xfId="0" applyNumberFormat="1" applyFont="1" applyFill="1" applyBorder="1" applyAlignment="1" applyProtection="1">
      <alignment vertical="center"/>
      <protection/>
    </xf>
    <xf numFmtId="0" fontId="6" fillId="0" borderId="0" xfId="0" applyFont="1" applyBorder="1" applyAlignment="1" applyProtection="1">
      <alignment horizontal="right" vertical="center"/>
      <protection/>
    </xf>
    <xf numFmtId="171" fontId="5" fillId="0" borderId="49" xfId="50" applyNumberFormat="1" applyFont="1" applyBorder="1" applyAlignment="1" applyProtection="1">
      <alignment vertical="center"/>
      <protection/>
    </xf>
    <xf numFmtId="0" fontId="5" fillId="0" borderId="0" xfId="0" applyFont="1" applyAlignment="1" applyProtection="1">
      <alignment vertical="center"/>
      <protection/>
    </xf>
    <xf numFmtId="0" fontId="6" fillId="0" borderId="0" xfId="0" applyFont="1" applyBorder="1" applyAlignment="1" applyProtection="1">
      <alignment horizontal="center" vertical="top"/>
      <protection/>
    </xf>
    <xf numFmtId="0" fontId="6" fillId="0" borderId="43" xfId="0" applyNumberFormat="1" applyFont="1" applyBorder="1" applyAlignment="1">
      <alignment horizontal="center"/>
    </xf>
    <xf numFmtId="0" fontId="6" fillId="0" borderId="14" xfId="0" applyNumberFormat="1" applyFont="1" applyBorder="1" applyAlignment="1">
      <alignment horizontal="center"/>
    </xf>
    <xf numFmtId="0" fontId="6" fillId="0" borderId="22" xfId="0" applyNumberFormat="1" applyFont="1" applyBorder="1" applyAlignment="1">
      <alignment horizontal="center"/>
    </xf>
    <xf numFmtId="0" fontId="6" fillId="0" borderId="25" xfId="0" applyNumberFormat="1" applyFont="1" applyBorder="1" applyAlignment="1">
      <alignment horizontal="center"/>
    </xf>
    <xf numFmtId="0" fontId="6" fillId="0" borderId="27" xfId="0" applyNumberFormat="1" applyFont="1" applyBorder="1" applyAlignment="1">
      <alignment horizontal="center"/>
    </xf>
    <xf numFmtId="0" fontId="6" fillId="0" borderId="11" xfId="0" applyNumberFormat="1" applyFont="1" applyBorder="1" applyAlignment="1">
      <alignment horizontal="center"/>
    </xf>
    <xf numFmtId="0" fontId="6" fillId="0" borderId="62" xfId="0" applyNumberFormat="1" applyFont="1" applyBorder="1" applyAlignment="1">
      <alignment horizontal="center"/>
    </xf>
    <xf numFmtId="0" fontId="6" fillId="0" borderId="74" xfId="0" applyNumberFormat="1" applyFont="1" applyBorder="1" applyAlignment="1">
      <alignment horizontal="center"/>
    </xf>
    <xf numFmtId="0" fontId="4" fillId="0" borderId="60" xfId="0" applyNumberFormat="1" applyFont="1" applyBorder="1" applyAlignment="1">
      <alignment horizontal="center"/>
    </xf>
    <xf numFmtId="0" fontId="6" fillId="0" borderId="57" xfId="0" applyNumberFormat="1" applyFont="1" applyBorder="1" applyAlignment="1">
      <alignment horizontal="center"/>
    </xf>
    <xf numFmtId="49" fontId="6" fillId="0" borderId="60" xfId="0" applyNumberFormat="1" applyFont="1" applyBorder="1" applyAlignment="1">
      <alignment horizontal="center"/>
    </xf>
    <xf numFmtId="49" fontId="6" fillId="0" borderId="57" xfId="0" applyNumberFormat="1" applyFont="1" applyBorder="1" applyAlignment="1">
      <alignment horizontal="center"/>
    </xf>
    <xf numFmtId="0" fontId="6" fillId="0" borderId="40" xfId="0" applyFont="1" applyBorder="1" applyAlignment="1">
      <alignment/>
    </xf>
    <xf numFmtId="0" fontId="6" fillId="0" borderId="13" xfId="0" applyFont="1" applyBorder="1" applyAlignment="1">
      <alignment/>
    </xf>
    <xf numFmtId="0" fontId="6" fillId="0" borderId="14" xfId="0" applyFont="1" applyBorder="1" applyAlignment="1">
      <alignment/>
    </xf>
    <xf numFmtId="0" fontId="11" fillId="0" borderId="0" xfId="0" applyFont="1" applyAlignment="1" applyProtection="1">
      <alignment horizontal="center" vertical="top"/>
      <protection/>
    </xf>
    <xf numFmtId="9" fontId="6" fillId="24" borderId="49" xfId="56" applyFont="1" applyFill="1" applyBorder="1" applyAlignment="1" applyProtection="1">
      <alignment horizontal="center" vertical="top"/>
      <protection locked="0"/>
    </xf>
    <xf numFmtId="0" fontId="6" fillId="24" borderId="49" xfId="0" applyNumberFormat="1" applyFont="1" applyFill="1" applyBorder="1" applyAlignment="1" applyProtection="1">
      <alignment horizontal="center" vertical="center"/>
      <protection/>
    </xf>
    <xf numFmtId="0" fontId="15" fillId="0" borderId="0" xfId="0" applyFont="1" applyAlignment="1" applyProtection="1">
      <alignment vertical="center"/>
      <protection locked="0"/>
    </xf>
    <xf numFmtId="2" fontId="0" fillId="0" borderId="0" xfId="0" applyNumberFormat="1" applyBorder="1" applyAlignment="1">
      <alignment vertical="center"/>
    </xf>
    <xf numFmtId="182" fontId="0" fillId="0" borderId="0" xfId="0" applyNumberFormat="1" applyBorder="1" applyAlignment="1">
      <alignment vertical="center"/>
    </xf>
    <xf numFmtId="0" fontId="0" fillId="0" borderId="0" xfId="0" applyAlignment="1">
      <alignment vertical="center"/>
    </xf>
    <xf numFmtId="171" fontId="5" fillId="0" borderId="75" xfId="0" applyNumberFormat="1" applyFont="1" applyBorder="1" applyAlignment="1" applyProtection="1">
      <alignment vertical="top"/>
      <protection/>
    </xf>
    <xf numFmtId="1" fontId="6" fillId="8" borderId="48" xfId="0" applyNumberFormat="1" applyFont="1" applyFill="1" applyBorder="1" applyAlignment="1" applyProtection="1">
      <alignment vertical="top"/>
      <protection/>
    </xf>
    <xf numFmtId="1" fontId="5" fillId="24" borderId="76" xfId="50" applyNumberFormat="1" applyFont="1" applyFill="1" applyBorder="1" applyAlignment="1">
      <alignment/>
    </xf>
    <xf numFmtId="1" fontId="5" fillId="24" borderId="77" xfId="50" applyNumberFormat="1" applyFont="1" applyFill="1" applyBorder="1" applyAlignment="1">
      <alignment/>
    </xf>
    <xf numFmtId="0" fontId="6" fillId="0" borderId="27" xfId="0" applyFont="1" applyBorder="1" applyAlignment="1" applyProtection="1">
      <alignment horizontal="right" vertical="top"/>
      <protection/>
    </xf>
    <xf numFmtId="0" fontId="6" fillId="22" borderId="16" xfId="0" applyFont="1" applyFill="1" applyBorder="1" applyAlignment="1" applyProtection="1">
      <alignment horizontal="center" vertical="top"/>
      <protection/>
    </xf>
    <xf numFmtId="1" fontId="5" fillId="8" borderId="26" xfId="50" applyNumberFormat="1" applyFont="1" applyFill="1" applyBorder="1" applyAlignment="1">
      <alignment vertical="top" wrapText="1"/>
    </xf>
    <xf numFmtId="1" fontId="6" fillId="0" borderId="11" xfId="0" applyNumberFormat="1" applyFont="1" applyFill="1" applyBorder="1" applyAlignment="1">
      <alignment vertical="top"/>
    </xf>
    <xf numFmtId="1" fontId="5" fillId="8" borderId="41" xfId="50" applyNumberFormat="1" applyFont="1" applyFill="1" applyBorder="1" applyAlignment="1">
      <alignment vertical="top" wrapText="1"/>
    </xf>
    <xf numFmtId="0" fontId="10" fillId="0" borderId="74" xfId="0" applyNumberFormat="1" applyFont="1" applyBorder="1" applyAlignment="1">
      <alignment horizontal="center" vertical="center"/>
    </xf>
    <xf numFmtId="0" fontId="10" fillId="0" borderId="18" xfId="0" applyNumberFormat="1" applyFont="1" applyBorder="1" applyAlignment="1">
      <alignment horizontal="center" vertical="center"/>
    </xf>
    <xf numFmtId="0" fontId="10" fillId="0" borderId="20" xfId="0" applyNumberFormat="1" applyFont="1" applyBorder="1" applyAlignment="1">
      <alignment horizontal="center" vertical="center"/>
    </xf>
    <xf numFmtId="0" fontId="6" fillId="0" borderId="39" xfId="0" applyFont="1" applyBorder="1" applyAlignment="1" applyProtection="1">
      <alignment horizontal="center" vertical="top"/>
      <protection/>
    </xf>
    <xf numFmtId="0" fontId="6" fillId="0" borderId="36" xfId="0" applyFont="1" applyBorder="1" applyAlignment="1" applyProtection="1">
      <alignment vertical="top"/>
      <protection/>
    </xf>
    <xf numFmtId="171" fontId="11" fillId="0" borderId="39" xfId="0" applyNumberFormat="1" applyFont="1" applyBorder="1" applyAlignment="1" applyProtection="1">
      <alignment vertical="top"/>
      <protection/>
    </xf>
    <xf numFmtId="0" fontId="6" fillId="0" borderId="40" xfId="0" applyNumberFormat="1" applyFont="1" applyBorder="1" applyAlignment="1">
      <alignment horizontal="center"/>
    </xf>
    <xf numFmtId="0" fontId="6" fillId="22" borderId="44" xfId="0" applyFont="1" applyFill="1" applyBorder="1" applyAlignment="1" applyProtection="1">
      <alignment horizontal="center" vertical="top"/>
      <protection/>
    </xf>
    <xf numFmtId="0" fontId="6" fillId="0" borderId="22" xfId="0" applyFont="1" applyBorder="1" applyAlignment="1" applyProtection="1">
      <alignment horizontal="right" vertical="top"/>
      <protection/>
    </xf>
    <xf numFmtId="4" fontId="6" fillId="0" borderId="58" xfId="0" applyNumberFormat="1" applyFont="1" applyBorder="1" applyAlignment="1" applyProtection="1">
      <alignment horizontal="center" vertical="top"/>
      <protection/>
    </xf>
    <xf numFmtId="4" fontId="6" fillId="0" borderId="51" xfId="0" applyNumberFormat="1" applyFont="1" applyBorder="1" applyAlignment="1" applyProtection="1">
      <alignment horizontal="center" vertical="top"/>
      <protection/>
    </xf>
    <xf numFmtId="184" fontId="5" fillId="0" borderId="78" xfId="0" applyNumberFormat="1" applyFont="1" applyBorder="1" applyAlignment="1" applyProtection="1">
      <alignment vertical="top"/>
      <protection/>
    </xf>
    <xf numFmtId="171" fontId="5" fillId="0" borderId="49" xfId="50" applyFont="1" applyBorder="1" applyAlignment="1">
      <alignment horizontal="center"/>
    </xf>
    <xf numFmtId="1" fontId="5" fillId="0" borderId="49" xfId="50" applyNumberFormat="1" applyFont="1" applyBorder="1" applyAlignment="1">
      <alignment/>
    </xf>
    <xf numFmtId="1" fontId="6" fillId="8" borderId="79" xfId="0" applyNumberFormat="1" applyFont="1" applyFill="1" applyBorder="1" applyAlignment="1">
      <alignment vertical="top"/>
    </xf>
    <xf numFmtId="2" fontId="10" fillId="0" borderId="39" xfId="0" applyNumberFormat="1" applyFont="1" applyBorder="1" applyAlignment="1">
      <alignment horizontal="center" vertical="center"/>
    </xf>
    <xf numFmtId="0" fontId="5" fillId="22" borderId="51" xfId="0" applyFont="1" applyFill="1" applyBorder="1" applyAlignment="1" applyProtection="1">
      <alignment horizontal="center" vertical="top"/>
      <protection/>
    </xf>
    <xf numFmtId="0" fontId="5" fillId="22" borderId="28" xfId="0" applyFont="1" applyFill="1" applyBorder="1" applyAlignment="1" applyProtection="1">
      <alignment horizontal="center" vertical="top"/>
      <protection/>
    </xf>
    <xf numFmtId="0" fontId="5" fillId="22" borderId="49" xfId="0" applyFont="1" applyFill="1" applyBorder="1" applyAlignment="1" applyProtection="1">
      <alignment horizontal="center" vertical="top"/>
      <protection/>
    </xf>
    <xf numFmtId="0" fontId="5" fillId="22" borderId="10" xfId="0" applyFont="1" applyFill="1" applyBorder="1" applyAlignment="1" applyProtection="1">
      <alignment horizontal="center" vertical="top"/>
      <protection/>
    </xf>
    <xf numFmtId="1" fontId="6" fillId="8" borderId="80" xfId="0" applyNumberFormat="1" applyFont="1" applyFill="1" applyBorder="1" applyAlignment="1">
      <alignment vertical="top"/>
    </xf>
    <xf numFmtId="0" fontId="6" fillId="0" borderId="33" xfId="50" applyNumberFormat="1" applyFont="1" applyBorder="1" applyAlignment="1">
      <alignment horizontal="left" wrapText="1"/>
    </xf>
    <xf numFmtId="0" fontId="6" fillId="0" borderId="34" xfId="50" applyNumberFormat="1" applyFont="1" applyBorder="1" applyAlignment="1">
      <alignment horizontal="left" wrapText="1"/>
    </xf>
    <xf numFmtId="0" fontId="6" fillId="0" borderId="35" xfId="50" applyNumberFormat="1" applyFont="1" applyBorder="1" applyAlignment="1">
      <alignment horizontal="left" wrapText="1"/>
    </xf>
    <xf numFmtId="171" fontId="5" fillId="22" borderId="28" xfId="50" applyFont="1" applyFill="1" applyBorder="1" applyAlignment="1" applyProtection="1">
      <alignment vertical="top"/>
      <protection/>
    </xf>
    <xf numFmtId="171" fontId="5" fillId="0" borderId="0" xfId="50" applyFont="1" applyBorder="1" applyAlignment="1">
      <alignment/>
    </xf>
    <xf numFmtId="0" fontId="6" fillId="24" borderId="49" xfId="50" applyNumberFormat="1" applyFont="1" applyFill="1" applyBorder="1" applyAlignment="1" applyProtection="1">
      <alignment horizontal="center" vertical="top"/>
      <protection locked="0"/>
    </xf>
    <xf numFmtId="0" fontId="5" fillId="24" borderId="11" xfId="0" applyFont="1" applyFill="1" applyBorder="1" applyAlignment="1" applyProtection="1">
      <alignment horizontal="center" vertical="top"/>
      <protection locked="0"/>
    </xf>
    <xf numFmtId="0" fontId="5" fillId="22" borderId="27" xfId="0" applyFont="1" applyFill="1" applyBorder="1" applyAlignment="1" applyProtection="1">
      <alignment horizontal="center" vertical="top"/>
      <protection locked="0"/>
    </xf>
    <xf numFmtId="0" fontId="5" fillId="22" borderId="25" xfId="0" applyFont="1" applyFill="1" applyBorder="1" applyAlignment="1" applyProtection="1">
      <alignment horizontal="center" vertical="top"/>
      <protection locked="0"/>
    </xf>
    <xf numFmtId="1" fontId="5" fillId="0" borderId="26" xfId="0" applyNumberFormat="1" applyFont="1" applyBorder="1" applyAlignment="1" applyProtection="1">
      <alignment vertical="top"/>
      <protection/>
    </xf>
    <xf numFmtId="3" fontId="5" fillId="0" borderId="12" xfId="0" applyNumberFormat="1" applyFont="1" applyFill="1" applyBorder="1" applyAlignment="1">
      <alignment vertical="top" wrapText="1"/>
    </xf>
    <xf numFmtId="191" fontId="5" fillId="0" borderId="0" xfId="0" applyNumberFormat="1" applyFont="1" applyAlignment="1" applyProtection="1">
      <alignment vertical="top"/>
      <protection/>
    </xf>
    <xf numFmtId="3" fontId="5" fillId="0" borderId="12" xfId="0" applyNumberFormat="1" applyFont="1" applyFill="1" applyBorder="1" applyAlignment="1">
      <alignment vertical="top" wrapText="1"/>
    </xf>
    <xf numFmtId="1" fontId="5" fillId="0" borderId="41" xfId="50" applyNumberFormat="1" applyFont="1" applyFill="1" applyBorder="1" applyAlignment="1">
      <alignment vertical="top" wrapText="1"/>
    </xf>
    <xf numFmtId="1" fontId="6" fillId="8" borderId="56" xfId="0" applyNumberFormat="1" applyFont="1" applyFill="1" applyBorder="1" applyAlignment="1">
      <alignment vertical="top"/>
    </xf>
    <xf numFmtId="1" fontId="6" fillId="8" borderId="0" xfId="0" applyNumberFormat="1" applyFont="1" applyFill="1" applyBorder="1" applyAlignment="1">
      <alignment vertical="top"/>
    </xf>
    <xf numFmtId="196" fontId="6" fillId="0" borderId="49" xfId="50" applyNumberFormat="1" applyFont="1" applyFill="1" applyBorder="1" applyAlignment="1" applyProtection="1">
      <alignment horizontal="center" vertical="top"/>
      <protection/>
    </xf>
    <xf numFmtId="195" fontId="11" fillId="26" borderId="0" xfId="0" applyNumberFormat="1" applyFont="1" applyFill="1" applyAlignment="1" applyProtection="1">
      <alignment horizontal="center" vertical="top"/>
      <protection/>
    </xf>
    <xf numFmtId="2" fontId="9" fillId="0" borderId="0" xfId="48" applyNumberFormat="1" applyFont="1" applyBorder="1" applyAlignment="1" applyProtection="1">
      <alignment horizontal="right"/>
      <protection/>
    </xf>
    <xf numFmtId="2" fontId="9" fillId="0" borderId="56" xfId="48" applyNumberFormat="1" applyFont="1" applyBorder="1" applyAlignment="1" applyProtection="1">
      <alignment horizontal="right"/>
      <protection/>
    </xf>
    <xf numFmtId="191" fontId="5" fillId="24" borderId="49" xfId="56" applyNumberFormat="1" applyFont="1" applyFill="1" applyBorder="1" applyAlignment="1" applyProtection="1">
      <alignment horizontal="right" vertical="top"/>
      <protection locked="0"/>
    </xf>
    <xf numFmtId="171" fontId="5" fillId="0" borderId="0" xfId="50" applyFont="1" applyFill="1" applyBorder="1" applyAlignment="1">
      <alignment horizontal="center"/>
    </xf>
    <xf numFmtId="171" fontId="5" fillId="0" borderId="25" xfId="50" applyFont="1" applyFill="1" applyBorder="1" applyAlignment="1">
      <alignment horizontal="center"/>
    </xf>
    <xf numFmtId="171" fontId="5" fillId="0" borderId="49" xfId="50" applyFont="1" applyFill="1" applyBorder="1" applyAlignment="1">
      <alignment horizontal="center"/>
    </xf>
    <xf numFmtId="171" fontId="5" fillId="0" borderId="10" xfId="50" applyFont="1" applyFill="1" applyBorder="1" applyAlignment="1">
      <alignment horizontal="center"/>
    </xf>
    <xf numFmtId="171" fontId="5" fillId="28" borderId="25" xfId="50" applyFont="1" applyFill="1" applyBorder="1" applyAlignment="1" applyProtection="1">
      <alignment horizontal="center"/>
      <protection locked="0"/>
    </xf>
    <xf numFmtId="171" fontId="5" fillId="28" borderId="49" xfId="50" applyFont="1" applyFill="1" applyBorder="1" applyAlignment="1" applyProtection="1">
      <alignment horizontal="center"/>
      <protection locked="0"/>
    </xf>
    <xf numFmtId="171" fontId="5" fillId="28" borderId="10" xfId="50" applyFont="1" applyFill="1" applyBorder="1" applyAlignment="1" applyProtection="1">
      <alignment horizontal="center"/>
      <protection locked="0"/>
    </xf>
    <xf numFmtId="181" fontId="5" fillId="0" borderId="0" xfId="0" applyNumberFormat="1" applyFont="1" applyAlignment="1" applyProtection="1">
      <alignment vertical="top"/>
      <protection/>
    </xf>
    <xf numFmtId="2" fontId="5" fillId="0" borderId="0" xfId="0" applyNumberFormat="1" applyFont="1" applyBorder="1" applyAlignment="1">
      <alignment/>
    </xf>
    <xf numFmtId="0" fontId="6" fillId="0" borderId="27" xfId="0" applyFont="1" applyBorder="1" applyAlignment="1" applyProtection="1">
      <alignment horizontal="right" vertical="top"/>
      <protection/>
    </xf>
    <xf numFmtId="0" fontId="6" fillId="0" borderId="51" xfId="0" applyFont="1" applyBorder="1" applyAlignment="1" applyProtection="1">
      <alignment horizontal="right" vertical="top"/>
      <protection/>
    </xf>
    <xf numFmtId="0" fontId="6" fillId="0" borderId="28" xfId="0" applyFont="1" applyBorder="1" applyAlignment="1" applyProtection="1">
      <alignment horizontal="right" vertical="top"/>
      <protection/>
    </xf>
    <xf numFmtId="0" fontId="0" fillId="0" borderId="0" xfId="0" applyFont="1" applyBorder="1" applyAlignment="1" applyProtection="1">
      <alignment horizontal="center" wrapText="1"/>
      <protection/>
    </xf>
    <xf numFmtId="0" fontId="0" fillId="0" borderId="31" xfId="0" applyFont="1" applyBorder="1" applyAlignment="1" applyProtection="1">
      <alignment horizontal="center" wrapText="1"/>
      <protection/>
    </xf>
    <xf numFmtId="0" fontId="0" fillId="8" borderId="81" xfId="0" applyFont="1" applyFill="1" applyBorder="1" applyAlignment="1" applyProtection="1">
      <alignment horizontal="left" vertical="center" wrapText="1"/>
      <protection/>
    </xf>
    <xf numFmtId="0" fontId="0" fillId="0" borderId="82" xfId="0" applyBorder="1" applyAlignment="1">
      <alignment/>
    </xf>
    <xf numFmtId="0" fontId="0" fillId="0" borderId="83" xfId="0" applyBorder="1" applyAlignment="1">
      <alignment/>
    </xf>
    <xf numFmtId="0" fontId="5" fillId="24" borderId="63" xfId="0" applyFont="1" applyFill="1" applyBorder="1" applyAlignment="1" applyProtection="1">
      <alignment horizontal="left" vertical="top" wrapText="1"/>
      <protection/>
    </xf>
    <xf numFmtId="0" fontId="5" fillId="24" borderId="71" xfId="0" applyFont="1" applyFill="1" applyBorder="1" applyAlignment="1" applyProtection="1">
      <alignment horizontal="left" vertical="top" wrapText="1"/>
      <protection/>
    </xf>
    <xf numFmtId="0" fontId="5" fillId="24" borderId="73" xfId="0" applyFont="1" applyFill="1" applyBorder="1" applyAlignment="1" applyProtection="1">
      <alignment horizontal="left" vertical="top" wrapText="1"/>
      <protection/>
    </xf>
    <xf numFmtId="0" fontId="5" fillId="24" borderId="84" xfId="0" applyFont="1" applyFill="1" applyBorder="1" applyAlignment="1" applyProtection="1">
      <alignment horizontal="left" vertical="top" wrapText="1"/>
      <protection/>
    </xf>
    <xf numFmtId="0" fontId="5" fillId="24" borderId="0" xfId="0" applyFont="1" applyFill="1" applyBorder="1" applyAlignment="1" applyProtection="1">
      <alignment horizontal="left" vertical="top" wrapText="1"/>
      <protection/>
    </xf>
    <xf numFmtId="0" fontId="5" fillId="24" borderId="76" xfId="0" applyFont="1" applyFill="1" applyBorder="1" applyAlignment="1" applyProtection="1">
      <alignment horizontal="left" vertical="top" wrapText="1"/>
      <protection/>
    </xf>
    <xf numFmtId="0" fontId="5" fillId="24" borderId="12" xfId="0" applyFont="1" applyFill="1" applyBorder="1" applyAlignment="1" applyProtection="1">
      <alignment horizontal="left" vertical="top" wrapText="1"/>
      <protection/>
    </xf>
    <xf numFmtId="0" fontId="5" fillId="24" borderId="31" xfId="0" applyFont="1" applyFill="1" applyBorder="1" applyAlignment="1" applyProtection="1">
      <alignment horizontal="left" vertical="top" wrapText="1"/>
      <protection/>
    </xf>
    <xf numFmtId="0" fontId="5" fillId="24" borderId="66" xfId="0" applyFont="1" applyFill="1" applyBorder="1" applyAlignment="1" applyProtection="1">
      <alignment horizontal="left" vertical="top" wrapText="1"/>
      <protection/>
    </xf>
    <xf numFmtId="0" fontId="0" fillId="8" borderId="85" xfId="0" applyFont="1" applyFill="1" applyBorder="1" applyAlignment="1" applyProtection="1">
      <alignment horizontal="left" vertical="center" wrapText="1"/>
      <protection/>
    </xf>
    <xf numFmtId="0" fontId="0" fillId="8" borderId="86" xfId="0" applyFont="1" applyFill="1" applyBorder="1" applyAlignment="1" applyProtection="1">
      <alignment horizontal="left" vertical="center" wrapText="1"/>
      <protection/>
    </xf>
    <xf numFmtId="0" fontId="6" fillId="0" borderId="25" xfId="0" applyFont="1" applyBorder="1" applyAlignment="1" applyProtection="1">
      <alignment horizontal="right" vertical="top"/>
      <protection/>
    </xf>
    <xf numFmtId="0" fontId="6" fillId="0" borderId="49" xfId="0" applyFont="1" applyBorder="1" applyAlignment="1" applyProtection="1">
      <alignment horizontal="right" vertical="top"/>
      <protection/>
    </xf>
    <xf numFmtId="0" fontId="6" fillId="0" borderId="10" xfId="0" applyFont="1" applyBorder="1" applyAlignment="1" applyProtection="1">
      <alignment horizontal="right" vertical="top"/>
      <protection/>
    </xf>
    <xf numFmtId="0" fontId="0" fillId="8" borderId="87" xfId="0" applyFont="1" applyFill="1" applyBorder="1" applyAlignment="1" applyProtection="1">
      <alignment horizontal="center" vertical="center" wrapText="1"/>
      <protection/>
    </xf>
    <xf numFmtId="0" fontId="0" fillId="8" borderId="88" xfId="0" applyFont="1" applyFill="1" applyBorder="1" applyAlignment="1" applyProtection="1">
      <alignment horizontal="center" vertical="center" wrapText="1"/>
      <protection/>
    </xf>
    <xf numFmtId="0" fontId="0" fillId="8" borderId="89" xfId="0" applyFont="1" applyFill="1" applyBorder="1" applyAlignment="1" applyProtection="1">
      <alignment horizontal="left" vertical="center" wrapText="1"/>
      <protection/>
    </xf>
    <xf numFmtId="0" fontId="6" fillId="0" borderId="22" xfId="0" applyFont="1" applyBorder="1" applyAlignment="1" applyProtection="1">
      <alignment horizontal="center" vertical="top"/>
      <protection/>
    </xf>
    <xf numFmtId="0" fontId="6" fillId="0" borderId="46" xfId="0" applyFont="1" applyBorder="1" applyAlignment="1" applyProtection="1">
      <alignment horizontal="center" vertical="top"/>
      <protection/>
    </xf>
    <xf numFmtId="0" fontId="6" fillId="0" borderId="23" xfId="0" applyFont="1" applyBorder="1" applyAlignment="1" applyProtection="1">
      <alignment horizontal="center" vertical="top"/>
      <protection/>
    </xf>
    <xf numFmtId="0" fontId="2" fillId="8" borderId="88" xfId="0" applyFont="1" applyFill="1" applyBorder="1" applyAlignment="1" applyProtection="1">
      <alignment horizontal="left" vertical="top" wrapText="1"/>
      <protection/>
    </xf>
    <xf numFmtId="0" fontId="2" fillId="8" borderId="90" xfId="0" applyFont="1" applyFill="1" applyBorder="1" applyAlignment="1" applyProtection="1">
      <alignment horizontal="left" vertical="top" wrapText="1"/>
      <protection/>
    </xf>
    <xf numFmtId="1" fontId="6" fillId="0" borderId="45" xfId="0" applyNumberFormat="1" applyFont="1" applyBorder="1" applyAlignment="1" applyProtection="1">
      <alignment horizontal="center" textRotation="90"/>
      <protection/>
    </xf>
    <xf numFmtId="1" fontId="6" fillId="0" borderId="48" xfId="0" applyNumberFormat="1" applyFont="1" applyBorder="1" applyAlignment="1" applyProtection="1">
      <alignment horizontal="center" textRotation="90"/>
      <protection/>
    </xf>
    <xf numFmtId="1" fontId="6" fillId="0" borderId="50" xfId="0" applyNumberFormat="1" applyFont="1" applyBorder="1" applyAlignment="1" applyProtection="1">
      <alignment horizontal="center" textRotation="90"/>
      <protection/>
    </xf>
    <xf numFmtId="0" fontId="7" fillId="0" borderId="31" xfId="0" applyFont="1" applyFill="1" applyBorder="1" applyAlignment="1" applyProtection="1">
      <alignment horizontal="left"/>
      <protection/>
    </xf>
    <xf numFmtId="0" fontId="7" fillId="0" borderId="30" xfId="0" applyFont="1" applyFill="1" applyBorder="1" applyAlignment="1" applyProtection="1">
      <alignment horizontal="left"/>
      <protection/>
    </xf>
    <xf numFmtId="171" fontId="6" fillId="0" borderId="22" xfId="50" applyFont="1" applyBorder="1" applyAlignment="1" applyProtection="1">
      <alignment horizontal="center" textRotation="90" wrapText="1"/>
      <protection/>
    </xf>
    <xf numFmtId="171" fontId="6" fillId="0" borderId="25" xfId="50" applyFont="1" applyBorder="1" applyAlignment="1" applyProtection="1">
      <alignment horizontal="center" textRotation="90" wrapText="1"/>
      <protection/>
    </xf>
    <xf numFmtId="171" fontId="6" fillId="0" borderId="27" xfId="50" applyFont="1" applyBorder="1" applyAlignment="1" applyProtection="1">
      <alignment horizontal="center" textRotation="90" wrapText="1"/>
      <protection/>
    </xf>
    <xf numFmtId="171" fontId="6" fillId="0" borderId="45" xfId="50" applyFont="1" applyBorder="1" applyAlignment="1" applyProtection="1">
      <alignment horizontal="center" textRotation="90" wrapText="1"/>
      <protection/>
    </xf>
    <xf numFmtId="171" fontId="6" fillId="0" borderId="48" xfId="50" applyFont="1" applyBorder="1" applyAlignment="1" applyProtection="1">
      <alignment horizontal="center" textRotation="90" wrapText="1"/>
      <protection/>
    </xf>
    <xf numFmtId="171" fontId="6" fillId="0" borderId="28" xfId="50" applyFont="1" applyBorder="1" applyAlignment="1" applyProtection="1">
      <alignment horizontal="center" textRotation="90" wrapText="1"/>
      <protection/>
    </xf>
    <xf numFmtId="0" fontId="12" fillId="8" borderId="87" xfId="0" applyFont="1" applyFill="1" applyBorder="1" applyAlignment="1" applyProtection="1">
      <alignment horizontal="center" vertical="center" wrapText="1"/>
      <protection/>
    </xf>
    <xf numFmtId="0" fontId="12" fillId="8" borderId="88" xfId="0" applyFont="1" applyFill="1" applyBorder="1" applyAlignment="1" applyProtection="1">
      <alignment horizontal="center" vertical="center" wrapText="1"/>
      <protection/>
    </xf>
    <xf numFmtId="0" fontId="12" fillId="8" borderId="90" xfId="0" applyFont="1" applyFill="1" applyBorder="1" applyAlignment="1" applyProtection="1">
      <alignment horizontal="center" vertical="center" wrapText="1"/>
      <protection/>
    </xf>
    <xf numFmtId="0" fontId="7" fillId="0" borderId="36" xfId="0" applyFont="1" applyFill="1" applyBorder="1" applyAlignment="1" applyProtection="1">
      <alignment horizontal="left"/>
      <protection/>
    </xf>
    <xf numFmtId="0" fontId="7" fillId="0" borderId="38" xfId="0" applyFont="1" applyFill="1" applyBorder="1" applyAlignment="1" applyProtection="1">
      <alignment horizontal="left"/>
      <protection/>
    </xf>
    <xf numFmtId="0" fontId="7" fillId="0" borderId="21" xfId="0" applyFont="1" applyFill="1" applyBorder="1" applyAlignment="1" applyProtection="1">
      <alignment horizontal="left"/>
      <protection/>
    </xf>
    <xf numFmtId="0" fontId="6" fillId="0" borderId="36" xfId="0" applyFont="1" applyBorder="1" applyAlignment="1" applyProtection="1">
      <alignment horizontal="center" vertical="top"/>
      <protection/>
    </xf>
    <xf numFmtId="0" fontId="6" fillId="0" borderId="38" xfId="0" applyFont="1" applyBorder="1" applyAlignment="1" applyProtection="1">
      <alignment horizontal="center" vertical="top"/>
      <protection/>
    </xf>
    <xf numFmtId="0" fontId="6" fillId="0" borderId="42" xfId="0" applyFont="1" applyBorder="1" applyAlignment="1" applyProtection="1">
      <alignment horizontal="center" vertical="top"/>
      <protection/>
    </xf>
    <xf numFmtId="0" fontId="8" fillId="0" borderId="36" xfId="0" applyFont="1" applyBorder="1" applyAlignment="1" applyProtection="1">
      <alignment horizontal="center" vertical="center"/>
      <protection/>
    </xf>
    <xf numFmtId="0" fontId="8" fillId="0" borderId="38" xfId="0" applyFont="1" applyBorder="1" applyAlignment="1" applyProtection="1">
      <alignment horizontal="center" vertical="center"/>
      <protection/>
    </xf>
    <xf numFmtId="0" fontId="8" fillId="0" borderId="42" xfId="0" applyFont="1" applyBorder="1" applyAlignment="1" applyProtection="1">
      <alignment horizontal="center" vertical="center"/>
      <protection/>
    </xf>
    <xf numFmtId="189" fontId="7" fillId="0" borderId="31" xfId="0" applyNumberFormat="1" applyFont="1" applyBorder="1" applyAlignment="1" applyProtection="1">
      <alignment horizontal="left"/>
      <protection/>
    </xf>
    <xf numFmtId="0" fontId="6" fillId="0" borderId="0" xfId="0" applyFont="1" applyBorder="1" applyAlignment="1" applyProtection="1">
      <alignment horizontal="right"/>
      <protection/>
    </xf>
    <xf numFmtId="185" fontId="6" fillId="0" borderId="33" xfId="0" applyNumberFormat="1" applyFont="1" applyBorder="1" applyAlignment="1" applyProtection="1">
      <alignment horizontal="center" vertical="center"/>
      <protection/>
    </xf>
    <xf numFmtId="185" fontId="6" fillId="0" borderId="34" xfId="0" applyNumberFormat="1" applyFont="1" applyBorder="1" applyAlignment="1" applyProtection="1">
      <alignment horizontal="center" vertical="center"/>
      <protection/>
    </xf>
    <xf numFmtId="185" fontId="6" fillId="0" borderId="35" xfId="0" applyNumberFormat="1" applyFont="1" applyBorder="1" applyAlignment="1" applyProtection="1">
      <alignment horizontal="center" vertical="center"/>
      <protection/>
    </xf>
    <xf numFmtId="1" fontId="4" fillId="0" borderId="40" xfId="0" applyNumberFormat="1" applyFont="1" applyBorder="1" applyAlignment="1" applyProtection="1">
      <alignment horizontal="center" textRotation="90"/>
      <protection/>
    </xf>
    <xf numFmtId="1" fontId="4" fillId="0" borderId="13" xfId="0" applyNumberFormat="1" applyFont="1" applyBorder="1" applyAlignment="1" applyProtection="1">
      <alignment horizontal="center" textRotation="90"/>
      <protection/>
    </xf>
    <xf numFmtId="1" fontId="4" fillId="0" borderId="14" xfId="0" applyNumberFormat="1" applyFont="1" applyBorder="1" applyAlignment="1" applyProtection="1">
      <alignment horizontal="center" textRotation="90"/>
      <protection/>
    </xf>
    <xf numFmtId="1" fontId="6" fillId="0" borderId="69" xfId="0" applyNumberFormat="1" applyFont="1" applyBorder="1" applyAlignment="1" applyProtection="1">
      <alignment horizontal="center" textRotation="90"/>
      <protection/>
    </xf>
    <xf numFmtId="1" fontId="6" fillId="0" borderId="70" xfId="0" applyNumberFormat="1" applyFont="1" applyBorder="1" applyAlignment="1" applyProtection="1">
      <alignment horizontal="center" textRotation="90"/>
      <protection/>
    </xf>
    <xf numFmtId="1" fontId="6" fillId="0" borderId="68" xfId="0" applyNumberFormat="1" applyFont="1" applyBorder="1" applyAlignment="1" applyProtection="1">
      <alignment horizontal="center" textRotation="90"/>
      <protection/>
    </xf>
    <xf numFmtId="1" fontId="6" fillId="0" borderId="46" xfId="0" applyNumberFormat="1" applyFont="1" applyBorder="1" applyAlignment="1" applyProtection="1">
      <alignment horizontal="center" textRotation="90"/>
      <protection/>
    </xf>
    <xf numFmtId="1" fontId="6" fillId="0" borderId="49" xfId="0" applyNumberFormat="1" applyFont="1" applyBorder="1" applyAlignment="1" applyProtection="1">
      <alignment horizontal="center" textRotation="90"/>
      <protection/>
    </xf>
    <xf numFmtId="1" fontId="6" fillId="0" borderId="51" xfId="0" applyNumberFormat="1" applyFont="1" applyBorder="1" applyAlignment="1" applyProtection="1">
      <alignment horizontal="center" textRotation="90"/>
      <protection/>
    </xf>
    <xf numFmtId="0" fontId="5" fillId="24" borderId="31" xfId="0" applyFont="1" applyFill="1" applyBorder="1" applyAlignment="1" applyProtection="1">
      <alignment horizontal="left"/>
      <protection/>
    </xf>
    <xf numFmtId="0" fontId="5" fillId="24" borderId="30" xfId="0" applyFont="1" applyFill="1" applyBorder="1" applyAlignment="1" applyProtection="1">
      <alignment horizontal="left"/>
      <protection/>
    </xf>
    <xf numFmtId="0" fontId="5" fillId="0" borderId="44" xfId="0" applyFont="1" applyBorder="1" applyAlignment="1" applyProtection="1">
      <alignment horizontal="center" vertical="top"/>
      <protection/>
    </xf>
    <xf numFmtId="0" fontId="5" fillId="0" borderId="91" xfId="0" applyFont="1" applyBorder="1" applyAlignment="1" applyProtection="1">
      <alignment horizontal="center" vertical="top"/>
      <protection/>
    </xf>
    <xf numFmtId="0" fontId="5" fillId="0" borderId="92" xfId="0" applyFont="1" applyBorder="1" applyAlignment="1" applyProtection="1">
      <alignment horizontal="center" vertical="top"/>
      <protection/>
    </xf>
    <xf numFmtId="0" fontId="5" fillId="0" borderId="84" xfId="0" applyFont="1" applyBorder="1" applyAlignment="1" applyProtection="1">
      <alignment horizontal="center" vertical="top"/>
      <protection/>
    </xf>
    <xf numFmtId="171" fontId="5" fillId="0" borderId="48" xfId="50" applyNumberFormat="1" applyFont="1" applyBorder="1" applyAlignment="1" applyProtection="1">
      <alignment horizontal="center" vertical="top"/>
      <protection/>
    </xf>
    <xf numFmtId="171" fontId="5" fillId="0" borderId="70" xfId="50" applyNumberFormat="1" applyFont="1" applyBorder="1" applyAlignment="1" applyProtection="1">
      <alignment horizontal="center" vertical="top"/>
      <protection/>
    </xf>
    <xf numFmtId="0" fontId="15" fillId="0" borderId="84" xfId="0" applyFont="1" applyBorder="1" applyAlignment="1" applyProtection="1">
      <alignment horizontal="left" vertical="top"/>
      <protection/>
    </xf>
    <xf numFmtId="0" fontId="15" fillId="0" borderId="0" xfId="0" applyFont="1" applyBorder="1" applyAlignment="1" applyProtection="1">
      <alignment horizontal="left" vertical="top"/>
      <protection/>
    </xf>
    <xf numFmtId="49" fontId="6" fillId="24" borderId="49" xfId="0" applyNumberFormat="1" applyFont="1" applyFill="1" applyBorder="1" applyAlignment="1" applyProtection="1">
      <alignment horizontal="left" vertical="top"/>
      <protection locked="0"/>
    </xf>
    <xf numFmtId="0" fontId="6" fillId="0" borderId="48" xfId="0" applyFont="1" applyBorder="1" applyAlignment="1" applyProtection="1">
      <alignment horizontal="center" vertical="top"/>
      <protection/>
    </xf>
    <xf numFmtId="0" fontId="6" fillId="0" borderId="70" xfId="0" applyFont="1" applyBorder="1" applyAlignment="1" applyProtection="1">
      <alignment horizontal="center" vertical="top"/>
      <protection/>
    </xf>
    <xf numFmtId="171" fontId="5" fillId="0" borderId="49" xfId="50" applyNumberFormat="1" applyFont="1" applyBorder="1" applyAlignment="1" applyProtection="1">
      <alignment horizontal="center" vertical="top"/>
      <protection/>
    </xf>
    <xf numFmtId="4" fontId="6" fillId="0" borderId="51" xfId="50" applyNumberFormat="1" applyFont="1" applyBorder="1" applyAlignment="1" applyProtection="1">
      <alignment horizontal="center" vertical="top"/>
      <protection/>
    </xf>
    <xf numFmtId="4" fontId="6" fillId="0" borderId="28" xfId="50" applyNumberFormat="1" applyFont="1" applyBorder="1" applyAlignment="1" applyProtection="1">
      <alignment horizontal="center" vertical="top"/>
      <protection/>
    </xf>
    <xf numFmtId="0" fontId="6" fillId="0" borderId="31" xfId="0" applyFont="1" applyBorder="1" applyAlignment="1" applyProtection="1">
      <alignment horizontal="center" vertical="top"/>
      <protection/>
    </xf>
    <xf numFmtId="0" fontId="6" fillId="24" borderId="48" xfId="0" applyFont="1" applyFill="1" applyBorder="1" applyAlignment="1" applyProtection="1">
      <alignment horizontal="center" vertical="top"/>
      <protection locked="0"/>
    </xf>
    <xf numFmtId="0" fontId="6" fillId="24" borderId="30" xfId="0" applyFont="1" applyFill="1" applyBorder="1" applyAlignment="1" applyProtection="1">
      <alignment horizontal="center" vertical="top"/>
      <protection locked="0"/>
    </xf>
    <xf numFmtId="0" fontId="6" fillId="24" borderId="70" xfId="0" applyFont="1" applyFill="1" applyBorder="1" applyAlignment="1" applyProtection="1">
      <alignment horizontal="center" vertical="top"/>
      <protection locked="0"/>
    </xf>
    <xf numFmtId="4" fontId="6" fillId="0" borderId="58" xfId="50" applyNumberFormat="1" applyFont="1" applyBorder="1" applyAlignment="1" applyProtection="1">
      <alignment horizontal="center" vertical="top"/>
      <protection/>
    </xf>
    <xf numFmtId="4" fontId="6" fillId="0" borderId="67" xfId="50" applyNumberFormat="1" applyFont="1" applyBorder="1" applyAlignment="1" applyProtection="1">
      <alignment horizontal="center" vertical="top"/>
      <protection/>
    </xf>
    <xf numFmtId="0" fontId="5" fillId="0" borderId="84"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171" fontId="5" fillId="0" borderId="75" xfId="50" applyNumberFormat="1" applyFont="1" applyBorder="1" applyAlignment="1" applyProtection="1">
      <alignment horizontal="center" vertical="top"/>
      <protection/>
    </xf>
    <xf numFmtId="49" fontId="5" fillId="24" borderId="49" xfId="0" applyNumberFormat="1" applyFont="1" applyFill="1" applyBorder="1" applyAlignment="1" applyProtection="1">
      <alignment horizontal="left" vertical="top"/>
      <protection locked="0"/>
    </xf>
    <xf numFmtId="191" fontId="5" fillId="24" borderId="48" xfId="56" applyNumberFormat="1" applyFont="1" applyFill="1" applyBorder="1" applyAlignment="1" applyProtection="1">
      <alignment horizontal="right" vertical="top"/>
      <protection locked="0"/>
    </xf>
    <xf numFmtId="191" fontId="5" fillId="24" borderId="70" xfId="56" applyNumberFormat="1" applyFont="1" applyFill="1" applyBorder="1" applyAlignment="1" applyProtection="1">
      <alignment horizontal="right" vertical="top"/>
      <protection locked="0"/>
    </xf>
    <xf numFmtId="0" fontId="6" fillId="0" borderId="49" xfId="0" applyFont="1" applyBorder="1" applyAlignment="1" applyProtection="1">
      <alignment horizontal="center" vertical="top"/>
      <protection/>
    </xf>
    <xf numFmtId="0" fontId="6" fillId="22" borderId="16" xfId="0" applyFont="1" applyFill="1" applyBorder="1" applyAlignment="1" applyProtection="1">
      <alignment horizontal="center" vertical="top"/>
      <protection/>
    </xf>
    <xf numFmtId="0" fontId="6" fillId="22" borderId="17" xfId="0" applyFont="1" applyFill="1" applyBorder="1" applyAlignment="1" applyProtection="1">
      <alignment horizontal="center" vertical="top"/>
      <protection/>
    </xf>
    <xf numFmtId="2" fontId="3" fillId="0" borderId="0" xfId="48" applyNumberFormat="1" applyFont="1" applyBorder="1" applyAlignment="1" applyProtection="1">
      <alignment horizontal="left"/>
      <protection/>
    </xf>
    <xf numFmtId="2" fontId="0" fillId="0" borderId="0" xfId="0" applyNumberFormat="1" applyFont="1" applyBorder="1" applyAlignment="1">
      <alignment horizontal="left"/>
    </xf>
    <xf numFmtId="171" fontId="5" fillId="0" borderId="49" xfId="50" applyNumberFormat="1" applyFont="1" applyBorder="1" applyAlignment="1" applyProtection="1">
      <alignment horizontal="center" vertical="center"/>
      <protection/>
    </xf>
    <xf numFmtId="0" fontId="5" fillId="0" borderId="84" xfId="0" applyFont="1" applyBorder="1" applyAlignment="1" applyProtection="1">
      <alignment horizontal="left" vertical="top"/>
      <protection/>
    </xf>
    <xf numFmtId="0" fontId="5" fillId="0" borderId="0" xfId="0" applyFont="1" applyAlignment="1" applyProtection="1">
      <alignment horizontal="left" vertical="top"/>
      <protection/>
    </xf>
    <xf numFmtId="171" fontId="6" fillId="0" borderId="48" xfId="50" applyNumberFormat="1" applyFont="1" applyBorder="1" applyAlignment="1" applyProtection="1">
      <alignment horizontal="center" vertical="top"/>
      <protection/>
    </xf>
    <xf numFmtId="171" fontId="6" fillId="0" borderId="70" xfId="50" applyNumberFormat="1" applyFont="1" applyBorder="1" applyAlignment="1" applyProtection="1">
      <alignment horizontal="center" vertical="top"/>
      <protection/>
    </xf>
    <xf numFmtId="2" fontId="3" fillId="0" borderId="56" xfId="48" applyNumberFormat="1" applyFont="1" applyBorder="1" applyAlignment="1" applyProtection="1">
      <alignment horizontal="left"/>
      <protection/>
    </xf>
    <xf numFmtId="2" fontId="0" fillId="0" borderId="56" xfId="0" applyNumberFormat="1" applyFont="1" applyBorder="1" applyAlignment="1">
      <alignment horizontal="left"/>
    </xf>
    <xf numFmtId="0" fontId="6" fillId="0" borderId="0" xfId="0" applyFont="1" applyAlignment="1" applyProtection="1">
      <alignment horizontal="center" vertical="top"/>
      <protection/>
    </xf>
    <xf numFmtId="0" fontId="6" fillId="0" borderId="0" xfId="0" applyFont="1" applyBorder="1" applyAlignment="1" applyProtection="1">
      <alignment horizontal="right" vertical="top" wrapText="1"/>
      <protection/>
    </xf>
    <xf numFmtId="0" fontId="11" fillId="0" borderId="30" xfId="0" applyFont="1" applyFill="1" applyBorder="1" applyAlignment="1" applyProtection="1">
      <alignment horizontal="center" vertical="top"/>
      <protection/>
    </xf>
    <xf numFmtId="9" fontId="6" fillId="24" borderId="48" xfId="56" applyFont="1" applyFill="1" applyBorder="1" applyAlignment="1" applyProtection="1">
      <alignment horizontal="center" vertical="top"/>
      <protection locked="0"/>
    </xf>
    <xf numFmtId="9" fontId="6" fillId="24" borderId="70" xfId="56" applyFont="1" applyFill="1" applyBorder="1" applyAlignment="1" applyProtection="1">
      <alignment horizontal="center" vertical="top"/>
      <protection locked="0"/>
    </xf>
    <xf numFmtId="0" fontId="7" fillId="0" borderId="38" xfId="0" applyFont="1" applyFill="1" applyBorder="1" applyAlignment="1" applyProtection="1">
      <alignment horizontal="center"/>
      <protection/>
    </xf>
    <xf numFmtId="0" fontId="7" fillId="0" borderId="42" xfId="0" applyFont="1" applyFill="1" applyBorder="1" applyAlignment="1" applyProtection="1">
      <alignment horizontal="center"/>
      <protection/>
    </xf>
    <xf numFmtId="171" fontId="6" fillId="0" borderId="44" xfId="50" applyFont="1" applyBorder="1" applyAlignment="1" applyProtection="1">
      <alignment horizontal="center" textRotation="90" wrapText="1" readingOrder="1"/>
      <protection/>
    </xf>
    <xf numFmtId="171" fontId="6" fillId="0" borderId="93" xfId="50" applyFont="1" applyBorder="1" applyAlignment="1" applyProtection="1">
      <alignment horizontal="center" textRotation="90" wrapText="1" readingOrder="1"/>
      <protection/>
    </xf>
    <xf numFmtId="171" fontId="6" fillId="0" borderId="53" xfId="50" applyFont="1" applyBorder="1" applyAlignment="1" applyProtection="1">
      <alignment horizontal="center" textRotation="90" wrapText="1" readingOrder="1"/>
      <protection/>
    </xf>
    <xf numFmtId="171" fontId="6" fillId="0" borderId="20" xfId="50" applyFont="1" applyBorder="1" applyAlignment="1" applyProtection="1">
      <alignment horizontal="center" textRotation="90" wrapText="1"/>
      <protection/>
    </xf>
    <xf numFmtId="171" fontId="6" fillId="0" borderId="77" xfId="50" applyFont="1" applyBorder="1" applyAlignment="1" applyProtection="1">
      <alignment horizontal="center" textRotation="90" wrapText="1"/>
      <protection/>
    </xf>
    <xf numFmtId="171" fontId="6" fillId="0" borderId="55" xfId="50" applyFont="1" applyBorder="1" applyAlignment="1" applyProtection="1">
      <alignment horizontal="center" textRotation="90" wrapText="1"/>
      <protection/>
    </xf>
    <xf numFmtId="0" fontId="32" fillId="0" borderId="74" xfId="0" applyFont="1" applyBorder="1" applyAlignment="1" applyProtection="1">
      <alignment horizontal="left" vertical="justify" wrapText="1"/>
      <protection/>
    </xf>
    <xf numFmtId="0" fontId="32" fillId="0" borderId="60" xfId="0" applyFont="1" applyBorder="1" applyAlignment="1">
      <alignment vertical="justify"/>
    </xf>
    <xf numFmtId="0" fontId="32" fillId="0" borderId="57" xfId="0" applyFont="1" applyBorder="1" applyAlignment="1">
      <alignment vertical="justify"/>
    </xf>
    <xf numFmtId="0" fontId="5" fillId="0" borderId="20" xfId="0" applyFont="1" applyBorder="1" applyAlignment="1" applyProtection="1">
      <alignment horizontal="center" vertical="top"/>
      <protection/>
    </xf>
    <xf numFmtId="1" fontId="16" fillId="0" borderId="40" xfId="48" applyNumberFormat="1" applyFont="1" applyBorder="1" applyAlignment="1" applyProtection="1">
      <alignment horizontal="center" textRotation="90"/>
      <protection/>
    </xf>
    <xf numFmtId="1" fontId="16" fillId="0" borderId="13" xfId="48" applyNumberFormat="1" applyFont="1" applyBorder="1" applyAlignment="1" applyProtection="1">
      <alignment horizontal="center" textRotation="90"/>
      <protection/>
    </xf>
    <xf numFmtId="1" fontId="16" fillId="0" borderId="14" xfId="48" applyNumberFormat="1" applyFont="1" applyBorder="1" applyAlignment="1" applyProtection="1">
      <alignment horizontal="center" textRotation="90"/>
      <protection/>
    </xf>
    <xf numFmtId="0" fontId="0" fillId="0" borderId="0" xfId="0" applyFont="1" applyBorder="1" applyAlignment="1" applyProtection="1">
      <alignment horizontal="center"/>
      <protection/>
    </xf>
    <xf numFmtId="0" fontId="5" fillId="24" borderId="31" xfId="0" applyFont="1" applyFill="1" applyBorder="1" applyAlignment="1" applyProtection="1">
      <alignment horizontal="left"/>
      <protection locked="0"/>
    </xf>
    <xf numFmtId="0" fontId="5" fillId="24" borderId="30" xfId="0" applyFont="1" applyFill="1" applyBorder="1" applyAlignment="1" applyProtection="1">
      <alignment horizontal="left"/>
      <protection locked="0"/>
    </xf>
    <xf numFmtId="0" fontId="5" fillId="24" borderId="63" xfId="0" applyFont="1" applyFill="1" applyBorder="1" applyAlignment="1" applyProtection="1">
      <alignment horizontal="left" vertical="top" wrapText="1"/>
      <protection locked="0"/>
    </xf>
    <xf numFmtId="0" fontId="5" fillId="24" borderId="71" xfId="0" applyFont="1" applyFill="1" applyBorder="1" applyAlignment="1" applyProtection="1">
      <alignment horizontal="left" vertical="top" wrapText="1"/>
      <protection locked="0"/>
    </xf>
    <xf numFmtId="0" fontId="5" fillId="24" borderId="73" xfId="0" applyFont="1" applyFill="1" applyBorder="1" applyAlignment="1" applyProtection="1">
      <alignment horizontal="left" vertical="top" wrapText="1"/>
      <protection locked="0"/>
    </xf>
    <xf numFmtId="0" fontId="5" fillId="24" borderId="84" xfId="0" applyFont="1" applyFill="1" applyBorder="1" applyAlignment="1" applyProtection="1">
      <alignment horizontal="left" vertical="top" wrapText="1"/>
      <protection locked="0"/>
    </xf>
    <xf numFmtId="0" fontId="5" fillId="24" borderId="0" xfId="0" applyFont="1" applyFill="1" applyBorder="1" applyAlignment="1" applyProtection="1">
      <alignment horizontal="left" vertical="top" wrapText="1"/>
      <protection locked="0"/>
    </xf>
    <xf numFmtId="0" fontId="5" fillId="24" borderId="76" xfId="0" applyFont="1" applyFill="1" applyBorder="1" applyAlignment="1" applyProtection="1">
      <alignment horizontal="left" vertical="top" wrapText="1"/>
      <protection locked="0"/>
    </xf>
    <xf numFmtId="0" fontId="5" fillId="24" borderId="12" xfId="0" applyFont="1" applyFill="1" applyBorder="1" applyAlignment="1" applyProtection="1">
      <alignment horizontal="left" vertical="top" wrapText="1"/>
      <protection locked="0"/>
    </xf>
    <xf numFmtId="0" fontId="5" fillId="24" borderId="31" xfId="0" applyFont="1" applyFill="1" applyBorder="1" applyAlignment="1" applyProtection="1">
      <alignment horizontal="left" vertical="top" wrapText="1"/>
      <protection locked="0"/>
    </xf>
    <xf numFmtId="0" fontId="5" fillId="24" borderId="66" xfId="0" applyFont="1" applyFill="1" applyBorder="1" applyAlignment="1" applyProtection="1">
      <alignment horizontal="left" vertical="top" wrapText="1"/>
      <protection locked="0"/>
    </xf>
    <xf numFmtId="171" fontId="6" fillId="0" borderId="23" xfId="50" applyFont="1" applyBorder="1" applyAlignment="1" applyProtection="1">
      <alignment horizontal="center" textRotation="90" wrapText="1"/>
      <protection/>
    </xf>
    <xf numFmtId="171" fontId="6" fillId="0" borderId="10" xfId="50" applyFont="1" applyBorder="1" applyAlignment="1" applyProtection="1">
      <alignment horizontal="center" textRotation="90" wrapText="1"/>
      <protection/>
    </xf>
    <xf numFmtId="0" fontId="32" fillId="0" borderId="60" xfId="0" applyFont="1" applyBorder="1" applyAlignment="1" applyProtection="1">
      <alignment horizontal="left" vertical="justify" wrapText="1"/>
      <protection/>
    </xf>
    <xf numFmtId="0" fontId="32" fillId="0" borderId="57" xfId="0" applyFont="1" applyBorder="1" applyAlignment="1" applyProtection="1">
      <alignment horizontal="left" vertical="justify" wrapText="1"/>
      <protection/>
    </xf>
    <xf numFmtId="193" fontId="6" fillId="0" borderId="35" xfId="0" applyNumberFormat="1" applyFont="1" applyBorder="1" applyAlignment="1" applyProtection="1">
      <alignment horizontal="right"/>
      <protection/>
    </xf>
    <xf numFmtId="193" fontId="6" fillId="0" borderId="52" xfId="0" applyNumberFormat="1" applyFont="1" applyBorder="1" applyAlignment="1" applyProtection="1">
      <alignment horizontal="right"/>
      <protection/>
    </xf>
    <xf numFmtId="193" fontId="6" fillId="0" borderId="29" xfId="0" applyNumberFormat="1" applyFont="1" applyBorder="1" applyAlignment="1" applyProtection="1">
      <alignment horizontal="right"/>
      <protection/>
    </xf>
    <xf numFmtId="192" fontId="5" fillId="0" borderId="46" xfId="0" applyNumberFormat="1" applyFont="1" applyBorder="1" applyAlignment="1" applyProtection="1">
      <alignment horizontal="center" textRotation="90"/>
      <protection/>
    </xf>
    <xf numFmtId="192" fontId="5" fillId="0" borderId="49" xfId="0" applyNumberFormat="1" applyFont="1" applyBorder="1" applyAlignment="1" applyProtection="1">
      <alignment horizontal="center" textRotation="90"/>
      <protection/>
    </xf>
    <xf numFmtId="192" fontId="5" fillId="0" borderId="75" xfId="0" applyNumberFormat="1" applyFont="1" applyBorder="1" applyAlignment="1" applyProtection="1">
      <alignment horizontal="center" textRotation="90"/>
      <protection/>
    </xf>
    <xf numFmtId="192" fontId="5" fillId="0" borderId="51" xfId="0" applyNumberFormat="1" applyFont="1" applyBorder="1" applyAlignment="1" applyProtection="1">
      <alignment horizontal="center" textRotation="90"/>
      <protection/>
    </xf>
    <xf numFmtId="0" fontId="6" fillId="0" borderId="36" xfId="0" applyFont="1" applyBorder="1" applyAlignment="1">
      <alignment horizontal="center" vertical="top"/>
    </xf>
    <xf numFmtId="0" fontId="0" fillId="0" borderId="38" xfId="0" applyBorder="1" applyAlignment="1">
      <alignment/>
    </xf>
    <xf numFmtId="0" fontId="0" fillId="0" borderId="42" xfId="0" applyBorder="1" applyAlignment="1">
      <alignment/>
    </xf>
    <xf numFmtId="193" fontId="6" fillId="0" borderId="11" xfId="0" applyNumberFormat="1" applyFont="1" applyBorder="1" applyAlignment="1" applyProtection="1">
      <alignment horizontal="right"/>
      <protection/>
    </xf>
    <xf numFmtId="193" fontId="6" fillId="0" borderId="58" xfId="0" applyNumberFormat="1" applyFont="1" applyBorder="1" applyAlignment="1" applyProtection="1">
      <alignment horizontal="right"/>
      <protection/>
    </xf>
    <xf numFmtId="193" fontId="6" fillId="0" borderId="67" xfId="0" applyNumberFormat="1" applyFont="1" applyBorder="1" applyAlignment="1" applyProtection="1">
      <alignment horizontal="right"/>
      <protection/>
    </xf>
    <xf numFmtId="193" fontId="5" fillId="0" borderId="25" xfId="0" applyNumberFormat="1" applyFont="1" applyBorder="1" applyAlignment="1" applyProtection="1">
      <alignment horizontal="right"/>
      <protection/>
    </xf>
    <xf numFmtId="193" fontId="5" fillId="0" borderId="49" xfId="0" applyNumberFormat="1" applyFont="1" applyBorder="1" applyAlignment="1" applyProtection="1">
      <alignment horizontal="right"/>
      <protection/>
    </xf>
    <xf numFmtId="193" fontId="5" fillId="0" borderId="10" xfId="0" applyNumberFormat="1" applyFont="1" applyBorder="1" applyAlignment="1" applyProtection="1">
      <alignment horizontal="right"/>
      <protection/>
    </xf>
    <xf numFmtId="193" fontId="5" fillId="0" borderId="34" xfId="0" applyNumberFormat="1" applyFont="1" applyBorder="1" applyAlignment="1" applyProtection="1">
      <alignment horizontal="right"/>
      <protection/>
    </xf>
    <xf numFmtId="193" fontId="5" fillId="0" borderId="30" xfId="0" applyNumberFormat="1" applyFont="1" applyBorder="1" applyAlignment="1" applyProtection="1">
      <alignment horizontal="right"/>
      <protection/>
    </xf>
    <xf numFmtId="193" fontId="5" fillId="0" borderId="26" xfId="0" applyNumberFormat="1" applyFont="1" applyBorder="1" applyAlignment="1" applyProtection="1">
      <alignment horizontal="right"/>
      <protection/>
    </xf>
    <xf numFmtId="0" fontId="6" fillId="0" borderId="36" xfId="0" applyFont="1" applyBorder="1" applyAlignment="1">
      <alignment horizontal="left" vertical="top"/>
    </xf>
    <xf numFmtId="0" fontId="6" fillId="0" borderId="38" xfId="0" applyFont="1" applyBorder="1" applyAlignment="1">
      <alignment horizontal="left" vertical="top"/>
    </xf>
    <xf numFmtId="0" fontId="6" fillId="0" borderId="42" xfId="0" applyFont="1" applyBorder="1" applyAlignment="1">
      <alignment horizontal="left" vertical="top"/>
    </xf>
    <xf numFmtId="193" fontId="6" fillId="0" borderId="33" xfId="0" applyNumberFormat="1" applyFont="1" applyBorder="1" applyAlignment="1" applyProtection="1">
      <alignment horizontal="right"/>
      <protection/>
    </xf>
    <xf numFmtId="193" fontId="6" fillId="0" borderId="47" xfId="0" applyNumberFormat="1" applyFont="1" applyBorder="1" applyAlignment="1" applyProtection="1">
      <alignment horizontal="right"/>
      <protection/>
    </xf>
    <xf numFmtId="193" fontId="6" fillId="0" borderId="24" xfId="0" applyNumberFormat="1" applyFont="1" applyBorder="1" applyAlignment="1" applyProtection="1">
      <alignment horizontal="right"/>
      <protection/>
    </xf>
    <xf numFmtId="0" fontId="6" fillId="0" borderId="79" xfId="0" applyFont="1" applyBorder="1" applyAlignment="1">
      <alignment horizontal="left"/>
    </xf>
    <xf numFmtId="0" fontId="6" fillId="0" borderId="94" xfId="0" applyFont="1" applyBorder="1" applyAlignment="1">
      <alignment horizontal="left"/>
    </xf>
    <xf numFmtId="0" fontId="6" fillId="0" borderId="37" xfId="0" applyFont="1" applyBorder="1" applyAlignment="1">
      <alignment horizontal="left"/>
    </xf>
    <xf numFmtId="192" fontId="5" fillId="0" borderId="22" xfId="0" applyNumberFormat="1" applyFont="1" applyBorder="1" applyAlignment="1" applyProtection="1">
      <alignment horizontal="center" textRotation="90"/>
      <protection/>
    </xf>
    <xf numFmtId="192" fontId="5" fillId="0" borderId="25" xfId="0" applyNumberFormat="1" applyFont="1" applyBorder="1" applyAlignment="1" applyProtection="1">
      <alignment horizontal="center" textRotation="90"/>
      <protection/>
    </xf>
    <xf numFmtId="192" fontId="5" fillId="0" borderId="62" xfId="0" applyNumberFormat="1" applyFont="1" applyBorder="1" applyAlignment="1" applyProtection="1">
      <alignment horizontal="center" textRotation="90"/>
      <protection/>
    </xf>
    <xf numFmtId="192" fontId="5" fillId="0" borderId="27" xfId="0" applyNumberFormat="1" applyFont="1" applyBorder="1" applyAlignment="1" applyProtection="1">
      <alignment horizontal="center" textRotation="90"/>
      <protection/>
    </xf>
    <xf numFmtId="192" fontId="6" fillId="0" borderId="40" xfId="0" applyNumberFormat="1" applyFont="1" applyBorder="1" applyAlignment="1" applyProtection="1">
      <alignment horizontal="center" textRotation="90"/>
      <protection/>
    </xf>
    <xf numFmtId="192" fontId="6" fillId="0" borderId="13" xfId="0" applyNumberFormat="1" applyFont="1" applyBorder="1" applyAlignment="1" applyProtection="1">
      <alignment horizontal="center" textRotation="90"/>
      <protection/>
    </xf>
    <xf numFmtId="192" fontId="6" fillId="0" borderId="78" xfId="0" applyNumberFormat="1" applyFont="1" applyBorder="1" applyAlignment="1" applyProtection="1">
      <alignment horizontal="center" textRotation="90"/>
      <protection/>
    </xf>
    <xf numFmtId="192" fontId="6" fillId="0" borderId="14" xfId="0" applyNumberFormat="1" applyFont="1" applyBorder="1" applyAlignment="1" applyProtection="1">
      <alignment horizontal="center" textRotation="90"/>
      <protection/>
    </xf>
    <xf numFmtId="192" fontId="6" fillId="0" borderId="36" xfId="0" applyNumberFormat="1" applyFont="1" applyBorder="1" applyAlignment="1">
      <alignment horizontal="center" vertical="top"/>
    </xf>
    <xf numFmtId="192" fontId="6" fillId="0" borderId="42" xfId="0" applyNumberFormat="1" applyFont="1" applyBorder="1" applyAlignment="1">
      <alignment horizontal="center" vertical="top"/>
    </xf>
    <xf numFmtId="187" fontId="7" fillId="0" borderId="30" xfId="0" applyNumberFormat="1" applyFont="1" applyFill="1" applyBorder="1" applyAlignment="1" applyProtection="1">
      <alignment horizontal="center"/>
      <protection/>
    </xf>
    <xf numFmtId="192" fontId="5" fillId="0" borderId="45" xfId="0" applyNumberFormat="1" applyFont="1" applyBorder="1" applyAlignment="1" applyProtection="1">
      <alignment horizontal="center" textRotation="90"/>
      <protection/>
    </xf>
    <xf numFmtId="192" fontId="5" fillId="0" borderId="48" xfId="0" applyNumberFormat="1" applyFont="1" applyBorder="1" applyAlignment="1" applyProtection="1">
      <alignment horizontal="center" textRotation="90"/>
      <protection/>
    </xf>
    <xf numFmtId="192" fontId="5" fillId="0" borderId="63" xfId="0" applyNumberFormat="1" applyFont="1" applyBorder="1" applyAlignment="1" applyProtection="1">
      <alignment horizontal="center" textRotation="90"/>
      <protection/>
    </xf>
    <xf numFmtId="192" fontId="5" fillId="0" borderId="50" xfId="0" applyNumberFormat="1" applyFont="1" applyBorder="1" applyAlignment="1" applyProtection="1">
      <alignment horizontal="center" textRotation="90"/>
      <protection/>
    </xf>
    <xf numFmtId="193" fontId="6" fillId="0" borderId="36" xfId="0" applyNumberFormat="1" applyFont="1" applyBorder="1" applyAlignment="1" applyProtection="1">
      <alignment horizontal="center"/>
      <protection/>
    </xf>
    <xf numFmtId="193" fontId="6" fillId="0" borderId="38" xfId="0" applyNumberFormat="1" applyFont="1" applyBorder="1" applyAlignment="1" applyProtection="1">
      <alignment horizontal="center"/>
      <protection/>
    </xf>
    <xf numFmtId="193" fontId="6" fillId="0" borderId="42" xfId="0" applyNumberFormat="1" applyFont="1" applyBorder="1" applyAlignment="1" applyProtection="1">
      <alignment horizontal="center"/>
      <protection/>
    </xf>
    <xf numFmtId="193" fontId="6" fillId="0" borderId="79" xfId="0" applyNumberFormat="1" applyFont="1" applyBorder="1" applyAlignment="1">
      <alignment horizontal="center" vertical="top"/>
    </xf>
    <xf numFmtId="193" fontId="6" fillId="0" borderId="21" xfId="0" applyNumberFormat="1" applyFont="1" applyBorder="1" applyAlignment="1">
      <alignment horizontal="center" vertical="top"/>
    </xf>
    <xf numFmtId="2" fontId="10" fillId="0" borderId="36" xfId="0" applyNumberFormat="1" applyFont="1" applyBorder="1" applyAlignment="1">
      <alignment horizontal="center" wrapText="1"/>
    </xf>
    <xf numFmtId="2" fontId="10" fillId="0" borderId="38" xfId="0" applyNumberFormat="1" applyFont="1" applyBorder="1" applyAlignment="1">
      <alignment horizontal="center" wrapText="1"/>
    </xf>
    <xf numFmtId="2" fontId="10" fillId="0" borderId="42" xfId="0" applyNumberFormat="1" applyFont="1" applyBorder="1" applyAlignment="1">
      <alignment horizontal="center" wrapText="1"/>
    </xf>
    <xf numFmtId="2" fontId="13" fillId="0" borderId="56" xfId="0" applyNumberFormat="1" applyFont="1" applyBorder="1" applyAlignment="1">
      <alignment horizontal="left" wrapText="1"/>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a 2" xfId="42"/>
    <cellStyle name="Commentaire" xfId="43"/>
    <cellStyle name="Commentaire 2" xfId="44"/>
    <cellStyle name="Currency 2" xfId="45"/>
    <cellStyle name="Entrée" xfId="46"/>
    <cellStyle name="Insatisfaisant" xfId="47"/>
    <cellStyle name="Hyperlink" xfId="48"/>
    <cellStyle name="Followed Hyperlink" xfId="49"/>
    <cellStyle name="Comma" xfId="50"/>
    <cellStyle name="Comma [0]" xfId="51"/>
    <cellStyle name="Currency" xfId="52"/>
    <cellStyle name="Currency [0]" xfId="53"/>
    <cellStyle name="Neutre" xfId="54"/>
    <cellStyle name="Percent 2" xfId="55"/>
    <cellStyle name="Percent"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dxfs count="438">
    <dxf>
      <fill>
        <patternFill>
          <bgColor indexed="42"/>
        </patternFill>
      </fill>
    </dxf>
    <dxf>
      <fill>
        <patternFill>
          <bgColor indexed="42"/>
        </patternFill>
      </fill>
    </dxf>
    <dxf>
      <fill>
        <patternFill>
          <bgColor indexed="10"/>
        </patternFill>
      </fill>
    </dxf>
    <dxf>
      <fill>
        <patternFill>
          <bgColor indexed="42"/>
        </patternFill>
      </fill>
    </dxf>
    <dxf>
      <fill>
        <patternFill>
          <bgColor indexed="42"/>
        </patternFill>
      </fill>
    </dxf>
    <dxf>
      <fill>
        <patternFill>
          <bgColor indexed="41"/>
        </patternFill>
      </fill>
    </dxf>
    <dxf>
      <fill>
        <patternFill>
          <bgColor indexed="46"/>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10"/>
        </patternFill>
      </fill>
    </dxf>
    <dxf>
      <fill>
        <patternFill>
          <bgColor indexed="47"/>
        </patternFill>
      </fill>
    </dxf>
    <dxf>
      <fill>
        <patternFill>
          <bgColor indexed="11"/>
        </patternFill>
      </fill>
    </dxf>
    <dxf>
      <fill>
        <patternFill>
          <bgColor indexed="53"/>
        </patternFill>
      </fill>
    </dxf>
    <dxf>
      <fill>
        <patternFill>
          <bgColor indexed="42"/>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2"/>
        </patternFill>
      </fill>
    </dxf>
    <dxf>
      <fill>
        <patternFill>
          <bgColor indexed="41"/>
        </patternFill>
      </fill>
    </dxf>
    <dxf>
      <fill>
        <patternFill>
          <bgColor indexed="46"/>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10"/>
        </patternFill>
      </fill>
    </dxf>
    <dxf>
      <fill>
        <patternFill>
          <bgColor indexed="42"/>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2"/>
        </patternFill>
      </fill>
    </dxf>
    <dxf>
      <fill>
        <patternFill>
          <bgColor indexed="41"/>
        </patternFill>
      </fill>
    </dxf>
    <dxf>
      <fill>
        <patternFill>
          <bgColor indexed="46"/>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10"/>
        </patternFill>
      </fill>
    </dxf>
    <dxf>
      <fill>
        <patternFill>
          <bgColor indexed="42"/>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53"/>
        </patternFill>
      </fill>
    </dxf>
    <dxf>
      <fill>
        <patternFill>
          <bgColor indexed="11"/>
        </patternFill>
      </fill>
    </dxf>
    <dxf>
      <fill>
        <patternFill>
          <bgColor indexed="42"/>
        </patternFill>
      </fill>
    </dxf>
    <dxf>
      <fill>
        <patternFill>
          <bgColor indexed="41"/>
        </patternFill>
      </fill>
    </dxf>
    <dxf>
      <fill>
        <patternFill>
          <bgColor indexed="46"/>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10"/>
        </patternFill>
      </fill>
    </dxf>
    <dxf>
      <fill>
        <patternFill>
          <bgColor indexed="42"/>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2"/>
        </patternFill>
      </fill>
    </dxf>
    <dxf>
      <fill>
        <patternFill>
          <bgColor indexed="41"/>
        </patternFill>
      </fill>
    </dxf>
    <dxf>
      <fill>
        <patternFill>
          <bgColor indexed="46"/>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10"/>
        </patternFill>
      </fill>
    </dxf>
    <dxf>
      <fill>
        <patternFill>
          <bgColor indexed="42"/>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53"/>
        </patternFill>
      </fill>
    </dxf>
    <dxf>
      <fill>
        <patternFill>
          <bgColor indexed="11"/>
        </patternFill>
      </fill>
    </dxf>
    <dxf>
      <fill>
        <patternFill>
          <bgColor indexed="42"/>
        </patternFill>
      </fill>
    </dxf>
    <dxf>
      <fill>
        <patternFill>
          <bgColor indexed="41"/>
        </patternFill>
      </fill>
    </dxf>
    <dxf>
      <fill>
        <patternFill>
          <bgColor indexed="46"/>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10"/>
        </patternFill>
      </fill>
    </dxf>
    <dxf>
      <fill>
        <patternFill>
          <bgColor indexed="42"/>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2"/>
        </patternFill>
      </fill>
    </dxf>
    <dxf>
      <fill>
        <patternFill>
          <bgColor indexed="41"/>
        </patternFill>
      </fill>
    </dxf>
    <dxf>
      <fill>
        <patternFill>
          <bgColor indexed="46"/>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ont>
        <color indexed="22"/>
      </font>
      <fill>
        <patternFill>
          <bgColor indexed="22"/>
        </patternFill>
      </fill>
    </dxf>
    <dxf>
      <fill>
        <patternFill>
          <bgColor indexed="10"/>
        </patternFill>
      </fill>
    </dxf>
    <dxf>
      <font>
        <color indexed="22"/>
      </font>
      <fill>
        <patternFill>
          <bgColor indexed="22"/>
        </patternFill>
      </fill>
    </dxf>
    <dxf>
      <fill>
        <patternFill>
          <bgColor indexed="42"/>
        </patternFill>
      </fill>
    </dxf>
    <dxf>
      <fill>
        <patternFill>
          <bgColor indexed="47"/>
        </patternFill>
      </fill>
    </dxf>
    <dxf>
      <fill>
        <patternFill>
          <bgColor indexed="11"/>
        </patternFill>
      </fill>
    </dxf>
    <dxf>
      <fill>
        <patternFill>
          <bgColor indexed="53"/>
        </patternFill>
      </fill>
    </dxf>
    <dxf>
      <fill>
        <patternFill>
          <bgColor indexed="10"/>
        </patternFill>
      </fill>
    </dxf>
    <dxf>
      <fill>
        <patternFill>
          <bgColor indexed="42"/>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53"/>
        </patternFill>
      </fill>
    </dxf>
    <dxf>
      <fill>
        <patternFill>
          <bgColor indexed="11"/>
        </patternFill>
      </fill>
    </dxf>
    <dxf>
      <fill>
        <patternFill>
          <bgColor indexed="42"/>
        </patternFill>
      </fill>
    </dxf>
    <dxf>
      <fill>
        <patternFill>
          <bgColor indexed="41"/>
        </patternFill>
      </fill>
    </dxf>
    <dxf>
      <fill>
        <patternFill>
          <bgColor indexed="46"/>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10"/>
        </patternFill>
      </fill>
    </dxf>
    <dxf>
      <fill>
        <patternFill>
          <bgColor indexed="42"/>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2"/>
        </patternFill>
      </fill>
    </dxf>
    <dxf>
      <fill>
        <patternFill>
          <bgColor indexed="41"/>
        </patternFill>
      </fill>
    </dxf>
    <dxf>
      <fill>
        <patternFill>
          <bgColor indexed="46"/>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10"/>
        </patternFill>
      </fill>
    </dxf>
    <dxf>
      <fill>
        <patternFill>
          <bgColor indexed="42"/>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2"/>
        </patternFill>
      </fill>
    </dxf>
    <dxf>
      <fill>
        <patternFill>
          <bgColor indexed="41"/>
        </patternFill>
      </fill>
    </dxf>
    <dxf>
      <fill>
        <patternFill>
          <bgColor indexed="46"/>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10"/>
        </patternFill>
      </fill>
    </dxf>
    <dxf>
      <fill>
        <patternFill>
          <bgColor indexed="42"/>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53"/>
        </patternFill>
      </fill>
    </dxf>
    <dxf>
      <fill>
        <patternFill>
          <bgColor indexed="11"/>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2"/>
        </patternFill>
      </fill>
    </dxf>
    <dxf>
      <fill>
        <patternFill>
          <bgColor indexed="41"/>
        </patternFill>
      </fill>
    </dxf>
    <dxf>
      <fill>
        <patternFill>
          <bgColor indexed="46"/>
        </patternFill>
      </fill>
    </dxf>
    <dxf>
      <fill>
        <patternFill>
          <bgColor indexed="47"/>
        </patternFill>
      </fill>
    </dxf>
    <dxf>
      <fill>
        <patternFill>
          <bgColor indexed="11"/>
        </patternFill>
      </fill>
    </dxf>
    <dxf>
      <fill>
        <patternFill>
          <bgColor indexed="53"/>
        </patternFill>
      </fill>
    </dxf>
    <dxf>
      <fill>
        <patternFill>
          <bgColor indexed="10"/>
        </patternFill>
      </fill>
    </dxf>
    <dxf>
      <fill>
        <patternFill>
          <bgColor indexed="42"/>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2"/>
        </patternFill>
      </fill>
    </dxf>
    <dxf>
      <fill>
        <patternFill>
          <bgColor indexed="41"/>
        </patternFill>
      </fill>
    </dxf>
    <dxf>
      <fill>
        <patternFill>
          <bgColor indexed="46"/>
        </patternFill>
      </fill>
    </dxf>
    <dxf>
      <fill>
        <patternFill>
          <bgColor indexed="42"/>
        </patternFill>
      </fill>
    </dxf>
    <dxf>
      <fill>
        <patternFill>
          <bgColor indexed="41"/>
        </patternFill>
      </fill>
    </dxf>
    <dxf>
      <fill>
        <patternFill>
          <bgColor indexed="46"/>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10"/>
        </patternFill>
      </fill>
    </dxf>
    <dxf>
      <fill>
        <patternFill>
          <bgColor indexed="42"/>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53"/>
        </patternFill>
      </fill>
    </dxf>
    <dxf>
      <fill>
        <patternFill>
          <bgColor indexed="11"/>
        </patternFill>
      </fill>
    </dxf>
    <dxf>
      <fill>
        <patternFill>
          <bgColor indexed="47"/>
        </patternFill>
      </fill>
    </dxf>
    <dxf>
      <fill>
        <patternFill>
          <bgColor indexed="11"/>
        </patternFill>
      </fill>
    </dxf>
    <dxf>
      <fill>
        <patternFill>
          <bgColor indexed="53"/>
        </patternFill>
      </fill>
    </dxf>
    <dxf>
      <fill>
        <patternFill>
          <bgColor indexed="10"/>
        </patternFill>
      </fill>
    </dxf>
    <dxf>
      <fill>
        <patternFill>
          <bgColor indexed="42"/>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2"/>
        </patternFill>
      </fill>
    </dxf>
    <dxf>
      <fill>
        <patternFill>
          <bgColor indexed="41"/>
        </patternFill>
      </fill>
    </dxf>
    <dxf>
      <fill>
        <patternFill>
          <bgColor indexed="46"/>
        </patternFill>
      </fill>
    </dxf>
    <dxf>
      <fill>
        <patternFill>
          <bgColor indexed="47"/>
        </patternFill>
      </fill>
    </dxf>
    <dxf>
      <font>
        <b/>
        <i val="0"/>
        <color indexed="9"/>
      </font>
      <fill>
        <patternFill>
          <bgColor indexed="10"/>
        </patternFill>
      </fill>
    </dxf>
    <dxf>
      <font>
        <b/>
        <i val="0"/>
      </font>
      <fill>
        <patternFill>
          <bgColor indexed="10"/>
        </patternFill>
      </fill>
    </dxf>
    <dxf>
      <fill>
        <patternFill>
          <bgColor indexed="43"/>
        </patternFill>
      </fill>
    </dxf>
    <dxf>
      <fill>
        <patternFill>
          <bgColor indexed="47"/>
        </patternFill>
      </fill>
    </dxf>
    <dxf>
      <fill>
        <patternFill>
          <bgColor indexed="53"/>
        </patternFill>
      </fill>
    </dxf>
    <dxf>
      <fill>
        <patternFill>
          <bgColor indexed="53"/>
        </patternFill>
      </fill>
    </dxf>
    <dxf>
      <font>
        <b/>
        <i val="0"/>
        <color auto="1"/>
      </font>
      <fill>
        <patternFill>
          <bgColor indexed="10"/>
        </patternFill>
      </fill>
    </dxf>
    <dxf>
      <font>
        <b/>
        <i val="0"/>
        <color auto="1"/>
      </font>
      <fill>
        <patternFill>
          <bgColor indexed="10"/>
        </patternFill>
      </fill>
    </dxf>
    <dxf>
      <fill>
        <patternFill>
          <bgColor indexed="10"/>
        </patternFill>
      </fill>
    </dxf>
    <dxf>
      <fill>
        <patternFill>
          <bgColor indexed="42"/>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7"/>
        </patternFill>
      </fill>
    </dxf>
    <dxf>
      <fill>
        <patternFill>
          <bgColor indexed="11"/>
        </patternFill>
      </fill>
    </dxf>
    <dxf>
      <fill>
        <patternFill>
          <bgColor indexed="53"/>
        </patternFill>
      </fill>
    </dxf>
    <dxf>
      <fill>
        <patternFill>
          <bgColor indexed="42"/>
        </patternFill>
      </fill>
    </dxf>
    <dxf>
      <fill>
        <patternFill>
          <bgColor indexed="41"/>
        </patternFill>
      </fill>
    </dxf>
    <dxf>
      <fill>
        <patternFill>
          <bgColor indexed="4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9</xdr:row>
      <xdr:rowOff>85725</xdr:rowOff>
    </xdr:from>
    <xdr:to>
      <xdr:col>8</xdr:col>
      <xdr:colOff>571500</xdr:colOff>
      <xdr:row>11</xdr:row>
      <xdr:rowOff>95250</xdr:rowOff>
    </xdr:to>
    <xdr:sp>
      <xdr:nvSpPr>
        <xdr:cNvPr id="1" name="Line 1"/>
        <xdr:cNvSpPr>
          <a:spLocks/>
        </xdr:cNvSpPr>
      </xdr:nvSpPr>
      <xdr:spPr>
        <a:xfrm flipH="1" flipV="1">
          <a:off x="1181100" y="1876425"/>
          <a:ext cx="2190750" cy="39052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11</xdr:row>
      <xdr:rowOff>95250</xdr:rowOff>
    </xdr:from>
    <xdr:to>
      <xdr:col>9</xdr:col>
      <xdr:colOff>0</xdr:colOff>
      <xdr:row>11</xdr:row>
      <xdr:rowOff>95250</xdr:rowOff>
    </xdr:to>
    <xdr:sp>
      <xdr:nvSpPr>
        <xdr:cNvPr id="2" name="Line 2"/>
        <xdr:cNvSpPr>
          <a:spLocks/>
        </xdr:cNvSpPr>
      </xdr:nvSpPr>
      <xdr:spPr>
        <a:xfrm flipH="1" flipV="1">
          <a:off x="1200150" y="2266950"/>
          <a:ext cx="2181225"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11</xdr:row>
      <xdr:rowOff>95250</xdr:rowOff>
    </xdr:from>
    <xdr:to>
      <xdr:col>8</xdr:col>
      <xdr:colOff>561975</xdr:colOff>
      <xdr:row>13</xdr:row>
      <xdr:rowOff>114300</xdr:rowOff>
    </xdr:to>
    <xdr:sp>
      <xdr:nvSpPr>
        <xdr:cNvPr id="3" name="Line 3"/>
        <xdr:cNvSpPr>
          <a:spLocks/>
        </xdr:cNvSpPr>
      </xdr:nvSpPr>
      <xdr:spPr>
        <a:xfrm flipH="1">
          <a:off x="1200150" y="2266950"/>
          <a:ext cx="2162175" cy="4000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190500</xdr:colOff>
      <xdr:row>17</xdr:row>
      <xdr:rowOff>85725</xdr:rowOff>
    </xdr:from>
    <xdr:to>
      <xdr:col>9</xdr:col>
      <xdr:colOff>0</xdr:colOff>
      <xdr:row>18</xdr:row>
      <xdr:rowOff>180975</xdr:rowOff>
    </xdr:to>
    <xdr:sp>
      <xdr:nvSpPr>
        <xdr:cNvPr id="4" name="Line 5"/>
        <xdr:cNvSpPr>
          <a:spLocks/>
        </xdr:cNvSpPr>
      </xdr:nvSpPr>
      <xdr:spPr>
        <a:xfrm flipH="1" flipV="1">
          <a:off x="1171575" y="3409950"/>
          <a:ext cx="2209800" cy="2857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22</xdr:row>
      <xdr:rowOff>104775</xdr:rowOff>
    </xdr:from>
    <xdr:to>
      <xdr:col>9</xdr:col>
      <xdr:colOff>0</xdr:colOff>
      <xdr:row>23</xdr:row>
      <xdr:rowOff>85725</xdr:rowOff>
    </xdr:to>
    <xdr:sp>
      <xdr:nvSpPr>
        <xdr:cNvPr id="5" name="Line 6"/>
        <xdr:cNvSpPr>
          <a:spLocks/>
        </xdr:cNvSpPr>
      </xdr:nvSpPr>
      <xdr:spPr>
        <a:xfrm flipH="1" flipV="1">
          <a:off x="1628775" y="4400550"/>
          <a:ext cx="1752600" cy="1714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27</xdr:row>
      <xdr:rowOff>0</xdr:rowOff>
    </xdr:from>
    <xdr:to>
      <xdr:col>9</xdr:col>
      <xdr:colOff>0</xdr:colOff>
      <xdr:row>27</xdr:row>
      <xdr:rowOff>0</xdr:rowOff>
    </xdr:to>
    <xdr:sp>
      <xdr:nvSpPr>
        <xdr:cNvPr id="6" name="Line 7"/>
        <xdr:cNvSpPr>
          <a:spLocks/>
        </xdr:cNvSpPr>
      </xdr:nvSpPr>
      <xdr:spPr>
        <a:xfrm flipH="1" flipV="1">
          <a:off x="2571750" y="5267325"/>
          <a:ext cx="809625"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342900</xdr:colOff>
      <xdr:row>31</xdr:row>
      <xdr:rowOff>142875</xdr:rowOff>
    </xdr:from>
    <xdr:to>
      <xdr:col>9</xdr:col>
      <xdr:colOff>0</xdr:colOff>
      <xdr:row>34</xdr:row>
      <xdr:rowOff>0</xdr:rowOff>
    </xdr:to>
    <xdr:sp>
      <xdr:nvSpPr>
        <xdr:cNvPr id="7" name="Line 8"/>
        <xdr:cNvSpPr>
          <a:spLocks/>
        </xdr:cNvSpPr>
      </xdr:nvSpPr>
      <xdr:spPr>
        <a:xfrm flipH="1" flipV="1">
          <a:off x="3143250" y="6181725"/>
          <a:ext cx="238125" cy="44767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30</xdr:row>
      <xdr:rowOff>123825</xdr:rowOff>
    </xdr:from>
    <xdr:to>
      <xdr:col>9</xdr:col>
      <xdr:colOff>0</xdr:colOff>
      <xdr:row>31</xdr:row>
      <xdr:rowOff>104775</xdr:rowOff>
    </xdr:to>
    <xdr:sp>
      <xdr:nvSpPr>
        <xdr:cNvPr id="8" name="Line 9"/>
        <xdr:cNvSpPr>
          <a:spLocks/>
        </xdr:cNvSpPr>
      </xdr:nvSpPr>
      <xdr:spPr>
        <a:xfrm flipH="1">
          <a:off x="1943100" y="5972175"/>
          <a:ext cx="1438275" cy="1714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21</xdr:row>
      <xdr:rowOff>0</xdr:rowOff>
    </xdr:from>
    <xdr:to>
      <xdr:col>15</xdr:col>
      <xdr:colOff>19050</xdr:colOff>
      <xdr:row>38</xdr:row>
      <xdr:rowOff>95250</xdr:rowOff>
    </xdr:to>
    <xdr:sp>
      <xdr:nvSpPr>
        <xdr:cNvPr id="9" name="Line 11"/>
        <xdr:cNvSpPr>
          <a:spLocks/>
        </xdr:cNvSpPr>
      </xdr:nvSpPr>
      <xdr:spPr>
        <a:xfrm flipV="1">
          <a:off x="5962650" y="4095750"/>
          <a:ext cx="4352925" cy="340042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43</xdr:row>
      <xdr:rowOff>95250</xdr:rowOff>
    </xdr:from>
    <xdr:to>
      <xdr:col>9</xdr:col>
      <xdr:colOff>0</xdr:colOff>
      <xdr:row>43</xdr:row>
      <xdr:rowOff>95250</xdr:rowOff>
    </xdr:to>
    <xdr:sp>
      <xdr:nvSpPr>
        <xdr:cNvPr id="10" name="Line 13"/>
        <xdr:cNvSpPr>
          <a:spLocks/>
        </xdr:cNvSpPr>
      </xdr:nvSpPr>
      <xdr:spPr>
        <a:xfrm flipH="1" flipV="1">
          <a:off x="2781300" y="8486775"/>
          <a:ext cx="600075"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38</xdr:row>
      <xdr:rowOff>85725</xdr:rowOff>
    </xdr:from>
    <xdr:to>
      <xdr:col>12</xdr:col>
      <xdr:colOff>9525</xdr:colOff>
      <xdr:row>44</xdr:row>
      <xdr:rowOff>85725</xdr:rowOff>
    </xdr:to>
    <xdr:sp>
      <xdr:nvSpPr>
        <xdr:cNvPr id="11" name="Line 14"/>
        <xdr:cNvSpPr>
          <a:spLocks/>
        </xdr:cNvSpPr>
      </xdr:nvSpPr>
      <xdr:spPr>
        <a:xfrm flipV="1">
          <a:off x="5962650" y="7486650"/>
          <a:ext cx="1838325" cy="118110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2571750</xdr:colOff>
      <xdr:row>4</xdr:row>
      <xdr:rowOff>76200</xdr:rowOff>
    </xdr:from>
    <xdr:to>
      <xdr:col>16</xdr:col>
      <xdr:colOff>19050</xdr:colOff>
      <xdr:row>11</xdr:row>
      <xdr:rowOff>85725</xdr:rowOff>
    </xdr:to>
    <xdr:sp>
      <xdr:nvSpPr>
        <xdr:cNvPr id="12" name="Line 16"/>
        <xdr:cNvSpPr>
          <a:spLocks/>
        </xdr:cNvSpPr>
      </xdr:nvSpPr>
      <xdr:spPr>
        <a:xfrm>
          <a:off x="5953125" y="895350"/>
          <a:ext cx="5095875" cy="136207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37</xdr:row>
      <xdr:rowOff>85725</xdr:rowOff>
    </xdr:from>
    <xdr:to>
      <xdr:col>9</xdr:col>
      <xdr:colOff>0</xdr:colOff>
      <xdr:row>39</xdr:row>
      <xdr:rowOff>9525</xdr:rowOff>
    </xdr:to>
    <xdr:sp>
      <xdr:nvSpPr>
        <xdr:cNvPr id="13" name="Line 17"/>
        <xdr:cNvSpPr>
          <a:spLocks/>
        </xdr:cNvSpPr>
      </xdr:nvSpPr>
      <xdr:spPr>
        <a:xfrm flipH="1">
          <a:off x="3124200" y="7296150"/>
          <a:ext cx="257175" cy="31432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14</xdr:row>
      <xdr:rowOff>9525</xdr:rowOff>
    </xdr:from>
    <xdr:to>
      <xdr:col>3</xdr:col>
      <xdr:colOff>0</xdr:colOff>
      <xdr:row>15</xdr:row>
      <xdr:rowOff>0</xdr:rowOff>
    </xdr:to>
    <xdr:pic>
      <xdr:nvPicPr>
        <xdr:cNvPr id="1" name="cmbAnAp"/>
        <xdr:cNvPicPr preferRelativeResize="1">
          <a:picLocks noChangeAspect="1"/>
        </xdr:cNvPicPr>
      </xdr:nvPicPr>
      <xdr:blipFill>
        <a:blip r:embed="rId1"/>
        <a:stretch>
          <a:fillRect/>
        </a:stretch>
      </xdr:blipFill>
      <xdr:spPr>
        <a:xfrm>
          <a:off x="3486150" y="2619375"/>
          <a:ext cx="1228725" cy="180975"/>
        </a:xfrm>
        <a:prstGeom prst="rect">
          <a:avLst/>
        </a:prstGeom>
        <a:noFill/>
        <a:ln w="9525" cmpd="sng">
          <a:noFill/>
        </a:ln>
      </xdr:spPr>
    </xdr:pic>
    <xdr:clientData fLocksWithSheet="0" fPrintsWithSheet="0"/>
  </xdr:twoCellAnchor>
  <xdr:twoCellAnchor>
    <xdr:from>
      <xdr:col>2</xdr:col>
      <xdr:colOff>19050</xdr:colOff>
      <xdr:row>35</xdr:row>
      <xdr:rowOff>9525</xdr:rowOff>
    </xdr:from>
    <xdr:to>
      <xdr:col>4</xdr:col>
      <xdr:colOff>638175</xdr:colOff>
      <xdr:row>36</xdr:row>
      <xdr:rowOff>9525</xdr:rowOff>
    </xdr:to>
    <xdr:pic>
      <xdr:nvPicPr>
        <xdr:cNvPr id="2" name="cmbRoomYN"/>
        <xdr:cNvPicPr preferRelativeResize="1">
          <a:picLocks noChangeAspect="1"/>
        </xdr:cNvPicPr>
      </xdr:nvPicPr>
      <xdr:blipFill>
        <a:blip r:embed="rId2"/>
        <a:stretch>
          <a:fillRect/>
        </a:stretch>
      </xdr:blipFill>
      <xdr:spPr>
        <a:xfrm>
          <a:off x="3486150" y="6762750"/>
          <a:ext cx="2514600" cy="190500"/>
        </a:xfrm>
        <a:prstGeom prst="rect">
          <a:avLst/>
        </a:prstGeom>
        <a:noFill/>
        <a:ln w="9525" cmpd="sng">
          <a:noFill/>
        </a:ln>
      </xdr:spPr>
    </xdr:pic>
    <xdr:clientData fLocksWithSheet="0" fPrintsWithSheet="0"/>
  </xdr:twoCellAnchor>
  <xdr:twoCellAnchor>
    <xdr:from>
      <xdr:col>2</xdr:col>
      <xdr:colOff>19050</xdr:colOff>
      <xdr:row>0</xdr:row>
      <xdr:rowOff>9525</xdr:rowOff>
    </xdr:from>
    <xdr:to>
      <xdr:col>3</xdr:col>
      <xdr:colOff>0</xdr:colOff>
      <xdr:row>1</xdr:row>
      <xdr:rowOff>0</xdr:rowOff>
    </xdr:to>
    <xdr:pic>
      <xdr:nvPicPr>
        <xdr:cNvPr id="3" name="cmbLng"/>
        <xdr:cNvPicPr preferRelativeResize="1">
          <a:picLocks noChangeAspect="1"/>
        </xdr:cNvPicPr>
      </xdr:nvPicPr>
      <xdr:blipFill>
        <a:blip r:embed="rId3"/>
        <a:stretch>
          <a:fillRect/>
        </a:stretch>
      </xdr:blipFill>
      <xdr:spPr>
        <a:xfrm>
          <a:off x="3486150" y="9525"/>
          <a:ext cx="1228725" cy="180975"/>
        </a:xfrm>
        <a:prstGeom prst="rect">
          <a:avLst/>
        </a:prstGeom>
        <a:noFill/>
        <a:ln w="9525" cmpd="sng">
          <a:noFill/>
        </a:ln>
      </xdr:spPr>
    </xdr:pic>
    <xdr:clientData fLocksWithSheet="0" fPrintsWithSheet="0"/>
  </xdr:twoCellAnchor>
  <xdr:twoCellAnchor>
    <xdr:from>
      <xdr:col>2</xdr:col>
      <xdr:colOff>19050</xdr:colOff>
      <xdr:row>36</xdr:row>
      <xdr:rowOff>9525</xdr:rowOff>
    </xdr:from>
    <xdr:to>
      <xdr:col>4</xdr:col>
      <xdr:colOff>638175</xdr:colOff>
      <xdr:row>37</xdr:row>
      <xdr:rowOff>0</xdr:rowOff>
    </xdr:to>
    <xdr:pic>
      <xdr:nvPicPr>
        <xdr:cNvPr id="4" name="cmbEffMoy"/>
        <xdr:cNvPicPr preferRelativeResize="1">
          <a:picLocks noChangeAspect="1"/>
        </xdr:cNvPicPr>
      </xdr:nvPicPr>
      <xdr:blipFill>
        <a:blip r:embed="rId4"/>
        <a:stretch>
          <a:fillRect/>
        </a:stretch>
      </xdr:blipFill>
      <xdr:spPr>
        <a:xfrm>
          <a:off x="3486150" y="6981825"/>
          <a:ext cx="2514600" cy="180975"/>
        </a:xfrm>
        <a:prstGeom prst="rect">
          <a:avLst/>
        </a:prstGeom>
        <a:noFill/>
        <a:ln w="9525" cmpd="sng">
          <a:noFill/>
        </a:ln>
      </xdr:spPr>
    </xdr:pic>
    <xdr:clientData fLocksWithSheet="0"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9525</xdr:colOff>
      <xdr:row>0</xdr:row>
      <xdr:rowOff>0</xdr:rowOff>
    </xdr:to>
    <xdr:sp>
      <xdr:nvSpPr>
        <xdr:cNvPr id="1" name="Text Box 1"/>
        <xdr:cNvSpPr txBox="1">
          <a:spLocks noChangeArrowheads="1"/>
        </xdr:cNvSpPr>
      </xdr:nvSpPr>
      <xdr:spPr>
        <a:xfrm>
          <a:off x="0" y="0"/>
          <a:ext cx="9525" cy="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sng" baseline="0">
              <a:solidFill>
                <a:srgbClr val="000000"/>
              </a:solidFill>
              <a:latin typeface="Arial"/>
              <a:ea typeface="Arial"/>
              <a:cs typeface="Arial"/>
            </a:rPr>
            <a:t>Explications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a:t>
          </a:r>
          <a:r>
            <a:rPr lang="en-US" cap="none" sz="1100" b="1" i="0" u="none" baseline="0">
              <a:solidFill>
                <a:srgbClr val="000000"/>
              </a:solidFill>
              <a:latin typeface="Arial"/>
              <a:ea typeface="Arial"/>
              <a:cs typeface="Arial"/>
            </a:rPr>
            <a:t>première</a:t>
          </a:r>
          <a:r>
            <a:rPr lang="en-US" cap="none" sz="1100" b="0" i="0" u="none" baseline="0">
              <a:solidFill>
                <a:srgbClr val="000000"/>
              </a:solidFill>
              <a:latin typeface="Arial"/>
              <a:ea typeface="Arial"/>
              <a:cs typeface="Arial"/>
            </a:rPr>
            <a:t> année, on part d'un salaire brut annuel de Fr. 13'000.- auquel on enlève Fr. 9'391.- si l'apprenti-e est en pension complète. Ceci donne un salaire annuel net de Fr. 3'610.-, soit un salaire mensuel net de Fr. 301.-.
</a:t>
          </a:r>
          <a:r>
            <a:rPr lang="en-US" cap="none" sz="1100" b="0" i="0" u="none" baseline="0">
              <a:solidFill>
                <a:srgbClr val="000000"/>
              </a:solidFill>
              <a:latin typeface="Arial"/>
              <a:ea typeface="Arial"/>
              <a:cs typeface="Arial"/>
            </a:rPr>
            <a:t>En </a:t>
          </a:r>
          <a:r>
            <a:rPr lang="en-US" cap="none" sz="1100" b="1" i="0" u="none" baseline="0">
              <a:solidFill>
                <a:srgbClr val="000000"/>
              </a:solidFill>
              <a:latin typeface="Arial"/>
              <a:ea typeface="Arial"/>
              <a:cs typeface="Arial"/>
            </a:rPr>
            <a:t>deuxième</a:t>
          </a:r>
          <a:r>
            <a:rPr lang="en-US" cap="none" sz="1100" b="0" i="0" u="none" baseline="0">
              <a:solidFill>
                <a:srgbClr val="000000"/>
              </a:solidFill>
              <a:latin typeface="Arial"/>
              <a:ea typeface="Arial"/>
              <a:cs typeface="Arial"/>
            </a:rPr>
            <a:t> année, on part d'un salaire brut annuel de Fr. 15'000.- auquel on enlève Fr. 9'391.- si l'apprenti-e est en pension complète. Ceci donne un salaire annuel net de Fr. 5'610.-, soit un salaire mensuel net de Fr. 467.-.
</a:t>
          </a:r>
          <a:r>
            <a:rPr lang="en-US" cap="none" sz="1100" b="0" i="0" u="none" baseline="0">
              <a:solidFill>
                <a:srgbClr val="000000"/>
              </a:solidFill>
              <a:latin typeface="Arial"/>
              <a:ea typeface="Arial"/>
              <a:cs typeface="Arial"/>
            </a:rPr>
            <a:t>En </a:t>
          </a:r>
          <a:r>
            <a:rPr lang="en-US" cap="none" sz="1100" b="1" i="0" u="none" baseline="0">
              <a:solidFill>
                <a:srgbClr val="000000"/>
              </a:solidFill>
              <a:latin typeface="Arial"/>
              <a:ea typeface="Arial"/>
              <a:cs typeface="Arial"/>
            </a:rPr>
            <a:t>troisième</a:t>
          </a:r>
          <a:r>
            <a:rPr lang="en-US" cap="none" sz="1100" b="0" i="0" u="none" baseline="0">
              <a:solidFill>
                <a:srgbClr val="000000"/>
              </a:solidFill>
              <a:latin typeface="Arial"/>
              <a:ea typeface="Arial"/>
              <a:cs typeface="Arial"/>
            </a:rPr>
            <a:t> année, l'apprenti est soit sur l'exploitation durant toute l'année (variante A), soit sur l'exploitation durant six mois (variante B). 
</a:t>
          </a:r>
          <a:r>
            <a:rPr lang="en-US" cap="none" sz="1100" b="0" i="0" u="none" baseline="0">
              <a:solidFill>
                <a:srgbClr val="000000"/>
              </a:solidFill>
              <a:latin typeface="Arial"/>
              <a:ea typeface="Arial"/>
              <a:cs typeface="Arial"/>
            </a:rPr>
            <a:t>Pour la</a:t>
          </a:r>
          <a:r>
            <a:rPr lang="en-US" cap="none" sz="1100" b="0" i="1" u="none" baseline="0">
              <a:solidFill>
                <a:srgbClr val="000000"/>
              </a:solidFill>
              <a:latin typeface="Arial"/>
              <a:ea typeface="Arial"/>
              <a:cs typeface="Arial"/>
            </a:rPr>
            <a:t> variante A</a:t>
          </a:r>
          <a:r>
            <a:rPr lang="en-US" cap="none" sz="1100" b="0" i="0" u="none" baseline="0">
              <a:solidFill>
                <a:srgbClr val="000000"/>
              </a:solidFill>
              <a:latin typeface="Arial"/>
              <a:ea typeface="Arial"/>
              <a:cs typeface="Arial"/>
            </a:rPr>
            <a:t>, on part d'un salaire annuel brut de Fr. 13'000.- auquel on enlève Fr. 8'781.- si l'apprenti-e est en pension complète. Ceci donne un salaire de Fr. 352.-.
</a:t>
          </a:r>
          <a:r>
            <a:rPr lang="en-US" cap="none" sz="1100" b="0" i="0" u="none" baseline="0">
              <a:solidFill>
                <a:srgbClr val="000000"/>
              </a:solidFill>
              <a:latin typeface="Arial"/>
              <a:ea typeface="Arial"/>
              <a:cs typeface="Arial"/>
            </a:rPr>
            <a:t>Pour la </a:t>
          </a:r>
          <a:r>
            <a:rPr lang="en-US" cap="none" sz="1100" b="0" i="1" u="none" baseline="0">
              <a:solidFill>
                <a:srgbClr val="000000"/>
              </a:solidFill>
              <a:latin typeface="Arial"/>
              <a:ea typeface="Arial"/>
              <a:cs typeface="Arial"/>
            </a:rPr>
            <a:t>variante B</a:t>
          </a:r>
          <a:r>
            <a:rPr lang="en-US" cap="none" sz="1100" b="0" i="0" u="none" baseline="0">
              <a:solidFill>
                <a:srgbClr val="000000"/>
              </a:solidFill>
              <a:latin typeface="Arial"/>
              <a:ea typeface="Arial"/>
              <a:cs typeface="Arial"/>
            </a:rPr>
            <a:t>, on part d'un salaire annuel brut de Fr. 13'000.- auquel on enlève Fr. 4'873.- si l'apprenti-e est en pension complète. Ceci donne un salaire de Fr. 1'355.-.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ormationprof.ch/download/am4.pdf"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R51"/>
  <sheetViews>
    <sheetView zoomScalePageLayoutView="0" workbookViewId="0" topLeftCell="B7">
      <selection activeCell="A1" sqref="A1:A16384"/>
    </sheetView>
  </sheetViews>
  <sheetFormatPr defaultColWidth="9.140625" defaultRowHeight="12.75"/>
  <cols>
    <col min="1" max="1" width="6.7109375" style="7" hidden="1" customWidth="1"/>
    <col min="2" max="2" width="14.7109375" style="7" customWidth="1"/>
    <col min="3" max="7" width="3.7109375" style="7" customWidth="1"/>
    <col min="8" max="9" width="8.7109375" style="8" customWidth="1"/>
    <col min="10" max="10" width="38.7109375" style="7" customWidth="1"/>
    <col min="11" max="11" width="2.7109375" style="7" hidden="1" customWidth="1"/>
    <col min="12" max="12" width="27.421875" style="9" customWidth="1"/>
    <col min="13" max="13" width="12.140625" style="9" customWidth="1"/>
    <col min="14" max="14" width="12.7109375" style="9" customWidth="1"/>
    <col min="15" max="15" width="12.7109375" style="33" customWidth="1"/>
    <col min="16" max="16" width="11.00390625" style="9" customWidth="1"/>
    <col min="17" max="17" width="12.7109375" style="9" customWidth="1"/>
    <col min="18" max="16384" width="9.140625" style="7" customWidth="1"/>
  </cols>
  <sheetData>
    <row r="1" spans="1:17" ht="17.25" thickBot="1">
      <c r="A1" s="10"/>
      <c r="B1" s="430" t="str">
        <f>'08'!B1</f>
        <v>Agenda</v>
      </c>
      <c r="C1" s="431"/>
      <c r="D1" s="431"/>
      <c r="E1" s="431"/>
      <c r="F1" s="431"/>
      <c r="G1" s="431"/>
      <c r="H1" s="431"/>
      <c r="I1" s="431"/>
      <c r="J1" s="432"/>
      <c r="K1" s="10"/>
      <c r="L1" s="433" t="str">
        <f>'08'!L1</f>
        <v>Monatliche Lohnabrechnung</v>
      </c>
      <c r="M1" s="434"/>
      <c r="N1" s="434"/>
      <c r="O1" s="434"/>
      <c r="P1" s="434"/>
      <c r="Q1" s="435"/>
    </row>
    <row r="2" spans="1:17" ht="17.25" thickBot="1">
      <c r="A2" s="10"/>
      <c r="B2" s="175" t="str">
        <f>'08'!B2</f>
        <v>Lerndende / r</v>
      </c>
      <c r="C2" s="427">
        <f>TRIM(DB_Apprenti)</f>
      </c>
      <c r="D2" s="428"/>
      <c r="E2" s="428"/>
      <c r="F2" s="428"/>
      <c r="G2" s="428"/>
      <c r="H2" s="428"/>
      <c r="I2" s="428"/>
      <c r="J2" s="429"/>
      <c r="K2" s="164"/>
      <c r="L2" s="152"/>
      <c r="M2" s="152"/>
      <c r="N2" s="152"/>
      <c r="O2" s="152"/>
      <c r="P2" s="152"/>
      <c r="Q2" s="152"/>
    </row>
    <row r="3" spans="1:17" ht="15">
      <c r="A3" s="184">
        <v>400</v>
      </c>
      <c r="B3" s="438">
        <f>DATE(DB_Annee,8,1)</f>
        <v>43678</v>
      </c>
      <c r="C3" s="441" t="str">
        <f>'08'!C3</f>
        <v>[ a-b-c-d-e-f-g-h-i ]</v>
      </c>
      <c r="D3" s="444" t="str">
        <f>'08'!D3</f>
        <v>Übernachtung</v>
      </c>
      <c r="E3" s="447" t="str">
        <f>'08'!E3</f>
        <v>Morgenessen</v>
      </c>
      <c r="F3" s="447" t="str">
        <f>'08'!F3</f>
        <v>Mittagessen</v>
      </c>
      <c r="G3" s="413" t="str">
        <f>'08'!G3</f>
        <v>Abendessen</v>
      </c>
      <c r="H3" s="418" t="str">
        <f>'08'!H3</f>
        <v>Betrag Naturallohn</v>
      </c>
      <c r="I3" s="421" t="str">
        <f>'08'!I3</f>
        <v>Angepasster Betrag</v>
      </c>
      <c r="J3" s="424" t="str">
        <f>VLOOKUP(A3,Tb_Traduction,DB_Langue,FALSE)</f>
        <v>Bitte nur die gelben zellen ausfüllen!</v>
      </c>
      <c r="L3" s="36" t="str">
        <f>'08'!L3</f>
        <v>Monat:</v>
      </c>
      <c r="M3" s="436">
        <f>B3</f>
        <v>43678</v>
      </c>
      <c r="N3" s="436"/>
      <c r="O3" s="437" t="str">
        <f>'08'!O3</f>
        <v>Jahr:</v>
      </c>
      <c r="P3" s="437">
        <f>'08'!P3</f>
        <v>0</v>
      </c>
      <c r="Q3" s="176">
        <f>B3</f>
        <v>43678</v>
      </c>
    </row>
    <row r="4" spans="1:17" ht="15">
      <c r="A4" s="10"/>
      <c r="B4" s="439"/>
      <c r="C4" s="442">
        <f>'08'!C4</f>
        <v>0</v>
      </c>
      <c r="D4" s="445">
        <f>'08'!D4</f>
        <v>0</v>
      </c>
      <c r="E4" s="448">
        <f>'08'!E4</f>
        <v>0</v>
      </c>
      <c r="F4" s="448">
        <f>'08'!F4</f>
        <v>0</v>
      </c>
      <c r="G4" s="414">
        <f>'08'!G4</f>
        <v>0</v>
      </c>
      <c r="H4" s="419">
        <f>'08'!H4</f>
        <v>0</v>
      </c>
      <c r="I4" s="422">
        <f>'08'!I4</f>
        <v>0</v>
      </c>
      <c r="J4" s="425"/>
      <c r="K4" s="10"/>
      <c r="L4" s="34"/>
      <c r="M4" s="34"/>
      <c r="N4" s="37"/>
      <c r="O4" s="36"/>
      <c r="P4" s="11"/>
      <c r="Q4" s="11"/>
    </row>
    <row r="5" spans="1:17" ht="15">
      <c r="A5" s="10"/>
      <c r="B5" s="439"/>
      <c r="C5" s="442">
        <f>'08'!C5</f>
        <v>0</v>
      </c>
      <c r="D5" s="445">
        <f>'08'!D5</f>
        <v>0</v>
      </c>
      <c r="E5" s="448">
        <f>'08'!E5</f>
        <v>0</v>
      </c>
      <c r="F5" s="448">
        <f>'08'!F5</f>
        <v>0</v>
      </c>
      <c r="G5" s="414">
        <f>'08'!G5</f>
        <v>0</v>
      </c>
      <c r="H5" s="419">
        <f>'08'!H5</f>
        <v>0</v>
      </c>
      <c r="I5" s="422">
        <f>'08'!I5</f>
        <v>0</v>
      </c>
      <c r="J5" s="425"/>
      <c r="K5" s="10"/>
      <c r="L5" s="36" t="str">
        <f>'08'!L5</f>
        <v>Berufsbildner</v>
      </c>
      <c r="M5" s="416"/>
      <c r="N5" s="416"/>
      <c r="O5" s="416"/>
      <c r="P5" s="416"/>
      <c r="Q5" s="416"/>
    </row>
    <row r="6" spans="1:17" ht="15">
      <c r="A6" s="10"/>
      <c r="B6" s="439"/>
      <c r="C6" s="442">
        <f>'08'!C6</f>
        <v>0</v>
      </c>
      <c r="D6" s="445">
        <f>'08'!D6</f>
        <v>0</v>
      </c>
      <c r="E6" s="448">
        <f>'08'!E6</f>
        <v>0</v>
      </c>
      <c r="F6" s="448">
        <f>'08'!F6</f>
        <v>0</v>
      </c>
      <c r="G6" s="414">
        <f>'08'!G6</f>
        <v>0</v>
      </c>
      <c r="H6" s="419">
        <f>'08'!H6</f>
        <v>0</v>
      </c>
      <c r="I6" s="422">
        <f>'08'!I6</f>
        <v>0</v>
      </c>
      <c r="J6" s="425"/>
      <c r="K6" s="10"/>
      <c r="L6" s="36" t="str">
        <f>'08'!L6</f>
        <v>Ort</v>
      </c>
      <c r="M6" s="417"/>
      <c r="N6" s="417"/>
      <c r="O6" s="417"/>
      <c r="P6" s="417"/>
      <c r="Q6" s="417"/>
    </row>
    <row r="7" spans="1:17" ht="15.75" thickBot="1">
      <c r="A7" s="10"/>
      <c r="B7" s="439"/>
      <c r="C7" s="442">
        <f>'08'!C7</f>
        <v>0</v>
      </c>
      <c r="D7" s="445">
        <f>'08'!D7</f>
        <v>0</v>
      </c>
      <c r="E7" s="448">
        <f>'08'!E7</f>
        <v>0</v>
      </c>
      <c r="F7" s="448">
        <f>'08'!F7</f>
        <v>0</v>
      </c>
      <c r="G7" s="414">
        <f>'08'!G7</f>
        <v>0</v>
      </c>
      <c r="H7" s="419">
        <f>'08'!H7</f>
        <v>0</v>
      </c>
      <c r="I7" s="422">
        <f>'08'!I7</f>
        <v>0</v>
      </c>
      <c r="J7" s="426"/>
      <c r="K7" s="10"/>
      <c r="L7" s="36" t="str">
        <f>'08'!L7</f>
        <v>Lernende / r</v>
      </c>
      <c r="M7" s="417"/>
      <c r="N7" s="417"/>
      <c r="O7" s="417"/>
      <c r="P7" s="417"/>
      <c r="Q7" s="417"/>
    </row>
    <row r="8" spans="2:17" ht="15.75" thickBot="1">
      <c r="B8" s="440"/>
      <c r="C8" s="443">
        <f>'08'!C8</f>
        <v>0</v>
      </c>
      <c r="D8" s="446">
        <f>'08'!D8</f>
        <v>0</v>
      </c>
      <c r="E8" s="449">
        <f>'08'!E8</f>
        <v>0</v>
      </c>
      <c r="F8" s="449">
        <f>'08'!F8</f>
        <v>0</v>
      </c>
      <c r="G8" s="415">
        <f>'08'!G8</f>
        <v>0</v>
      </c>
      <c r="H8" s="420">
        <f>'08'!H8</f>
        <v>0</v>
      </c>
      <c r="I8" s="423">
        <f>'08'!I8</f>
        <v>0</v>
      </c>
      <c r="J8" s="291"/>
      <c r="L8" s="36" t="str">
        <f>'08'!L8</f>
        <v>AHV-Nummer</v>
      </c>
      <c r="M8" s="417"/>
      <c r="N8" s="417"/>
      <c r="P8" s="183" t="str">
        <f>'08'!P8</f>
        <v>Geburtsdatum</v>
      </c>
      <c r="Q8" s="42"/>
    </row>
    <row r="9" spans="1:11" ht="15" customHeight="1">
      <c r="A9" s="184">
        <v>401</v>
      </c>
      <c r="B9" s="87">
        <f>B3</f>
        <v>43678</v>
      </c>
      <c r="C9" s="154" t="s">
        <v>109</v>
      </c>
      <c r="D9" s="185"/>
      <c r="E9" s="268"/>
      <c r="F9" s="268"/>
      <c r="G9" s="269"/>
      <c r="H9" s="12">
        <f aca="true" t="shared" si="0" ref="H9:H39">IF(C9="a",PN_Travail,IF(C9="b",PN_CoursProf,IF(C9="c",PN_CoursIE,IF(C9="d",PN_Conge,IF(C9="e",PN_Vacances,IF(C9="f",PN_DemiJour,IF(C9="g",PN_Accident,IF(C9="h",PN_Maladie,0))))))))</f>
        <v>33</v>
      </c>
      <c r="I9" s="13">
        <f>H9+D9*PN_Logis+E9*PN_Dejeuner+F9*PN_Diner+G9*PN_Souper</f>
        <v>33</v>
      </c>
      <c r="J9" s="405" t="str">
        <f>VLOOKUP(A9,Tb_Traduction,DB_Langue,FALSE)</f>
        <v>Geben Sie für jeden Tag die Beschäftigung der / des Lernenden ein (a bis h)</v>
      </c>
      <c r="K9" s="14"/>
    </row>
    <row r="10" spans="2:10" ht="15">
      <c r="B10" s="15">
        <f aca="true" t="shared" si="1" ref="B10:B39">B9+1</f>
        <v>43679</v>
      </c>
      <c r="C10" s="154" t="s">
        <v>110</v>
      </c>
      <c r="D10" s="185"/>
      <c r="E10" s="268"/>
      <c r="F10" s="268"/>
      <c r="G10" s="269"/>
      <c r="H10" s="12">
        <f t="shared" si="0"/>
        <v>11.5</v>
      </c>
      <c r="I10" s="13">
        <f aca="true" t="shared" si="2" ref="I10:I39">H10+D10*PN_Logis+E10*PN_Dejeuner+F10*PN_Diner+G10*PN_Souper</f>
        <v>11.5</v>
      </c>
      <c r="J10" s="406"/>
    </row>
    <row r="11" spans="1:17" ht="15" customHeight="1">
      <c r="A11" s="184">
        <v>230</v>
      </c>
      <c r="B11" s="15">
        <f t="shared" si="1"/>
        <v>43680</v>
      </c>
      <c r="C11" s="154" t="s">
        <v>111</v>
      </c>
      <c r="D11" s="185"/>
      <c r="E11" s="268"/>
      <c r="F11" s="268"/>
      <c r="G11" s="269"/>
      <c r="H11" s="12">
        <f t="shared" si="0"/>
        <v>23</v>
      </c>
      <c r="I11" s="13">
        <f t="shared" si="2"/>
        <v>23</v>
      </c>
      <c r="J11" s="411" t="str">
        <f>VLOOKUP(A12,Tb_Traduction,DB_Langue,FALSE)</f>
        <v>a = Arbeitstag
b = Schultag
c = überbetrieblicher Kurs (üK)
d = Freitag
e = Ferientag
f = 1/2 Arbeitstag, 1/2 Freitag
g = Unfall (ganz Tag)
h = Krankheit (ganz Tag)
i = Militär</v>
      </c>
      <c r="L11" s="39" t="str">
        <f>'08'!L11</f>
        <v>Bruttolohn  </v>
      </c>
      <c r="M11" s="34" t="e">
        <f>'08'!M11</f>
        <v>#N/A</v>
      </c>
      <c r="N11" s="34"/>
      <c r="O11" s="38"/>
      <c r="P11" s="45"/>
      <c r="Q11" s="49" t="e">
        <f>IF(PN_EffMoy=0,Sa_BaseMensuelArrondi/H42*C40,Sa_BaseMensuelArrondi*PN_SalMoyAout)</f>
        <v>#N/A</v>
      </c>
    </row>
    <row r="12" spans="1:17" ht="15">
      <c r="A12" s="184">
        <v>402</v>
      </c>
      <c r="B12" s="15">
        <f t="shared" si="1"/>
        <v>43681</v>
      </c>
      <c r="C12" s="154" t="s">
        <v>109</v>
      </c>
      <c r="D12" s="185"/>
      <c r="E12" s="268"/>
      <c r="F12" s="268"/>
      <c r="G12" s="269"/>
      <c r="H12" s="12">
        <f t="shared" si="0"/>
        <v>33</v>
      </c>
      <c r="I12" s="13">
        <f t="shared" si="2"/>
        <v>33</v>
      </c>
      <c r="J12" s="411"/>
      <c r="L12" s="9" t="str">
        <f>'08'!L12</f>
        <v>Prämie, Bonus, Gratifikation</v>
      </c>
      <c r="Q12" s="155"/>
    </row>
    <row r="13" spans="2:17" ht="15">
      <c r="B13" s="15">
        <f t="shared" si="1"/>
        <v>43682</v>
      </c>
      <c r="C13" s="154" t="s">
        <v>109</v>
      </c>
      <c r="D13" s="185"/>
      <c r="E13" s="268"/>
      <c r="F13" s="268"/>
      <c r="G13" s="269"/>
      <c r="H13" s="12">
        <f t="shared" si="0"/>
        <v>33</v>
      </c>
      <c r="I13" s="13">
        <f t="shared" si="2"/>
        <v>33</v>
      </c>
      <c r="J13" s="411"/>
      <c r="L13" s="88" t="str">
        <f>'08'!L13</f>
        <v>Bruttolohn total</v>
      </c>
      <c r="Q13" s="89" t="e">
        <f>SUM(Q11:Q12)</f>
        <v>#N/A</v>
      </c>
    </row>
    <row r="14" spans="2:10" ht="15">
      <c r="B14" s="15">
        <f t="shared" si="1"/>
        <v>43683</v>
      </c>
      <c r="C14" s="154" t="s">
        <v>109</v>
      </c>
      <c r="D14" s="185"/>
      <c r="E14" s="268"/>
      <c r="F14" s="268"/>
      <c r="G14" s="269"/>
      <c r="H14" s="12">
        <f t="shared" si="0"/>
        <v>33</v>
      </c>
      <c r="I14" s="13">
        <f t="shared" si="2"/>
        <v>33</v>
      </c>
      <c r="J14" s="411"/>
    </row>
    <row r="15" spans="2:17" ht="15">
      <c r="B15" s="15">
        <f t="shared" si="1"/>
        <v>43684</v>
      </c>
      <c r="C15" s="154" t="s">
        <v>109</v>
      </c>
      <c r="D15" s="185"/>
      <c r="E15" s="268"/>
      <c r="F15" s="268"/>
      <c r="G15" s="269"/>
      <c r="H15" s="12">
        <f t="shared" si="0"/>
        <v>33</v>
      </c>
      <c r="I15" s="13">
        <f t="shared" si="2"/>
        <v>33</v>
      </c>
      <c r="J15" s="411"/>
      <c r="L15" s="39" t="str">
        <f>'08'!L15</f>
        <v>Abzüge</v>
      </c>
      <c r="M15" s="11" t="str">
        <f>'08'!M15</f>
        <v>Anteil</v>
      </c>
      <c r="N15" s="11" t="s">
        <v>37</v>
      </c>
      <c r="O15" s="38"/>
      <c r="P15" s="45"/>
      <c r="Q15" s="46"/>
    </row>
    <row r="16" spans="2:17" ht="15">
      <c r="B16" s="15">
        <f t="shared" si="1"/>
        <v>43685</v>
      </c>
      <c r="C16" s="154" t="s">
        <v>110</v>
      </c>
      <c r="D16" s="185"/>
      <c r="E16" s="268"/>
      <c r="F16" s="268"/>
      <c r="G16" s="269"/>
      <c r="H16" s="12">
        <f t="shared" si="0"/>
        <v>11.5</v>
      </c>
      <c r="I16" s="13">
        <f t="shared" si="2"/>
        <v>11.5</v>
      </c>
      <c r="J16" s="411"/>
      <c r="L16" s="186" t="str">
        <f>'08'!L16</f>
        <v>Beiträge AHV, IV, EO*:</v>
      </c>
      <c r="M16" s="43" t="s">
        <v>50</v>
      </c>
      <c r="N16" s="44">
        <v>0.0505</v>
      </c>
      <c r="O16" s="38"/>
      <c r="P16" s="50" t="e">
        <f>$Q$13*N16</f>
        <v>#N/A</v>
      </c>
      <c r="Q16" s="46"/>
    </row>
    <row r="17" spans="2:17" ht="15.75" thickBot="1">
      <c r="B17" s="15">
        <f t="shared" si="1"/>
        <v>43686</v>
      </c>
      <c r="C17" s="154" t="s">
        <v>110</v>
      </c>
      <c r="D17" s="185"/>
      <c r="E17" s="268"/>
      <c r="F17" s="268"/>
      <c r="G17" s="269"/>
      <c r="H17" s="12">
        <f t="shared" si="0"/>
        <v>11.5</v>
      </c>
      <c r="I17" s="13">
        <f t="shared" si="2"/>
        <v>11.5</v>
      </c>
      <c r="J17" s="412"/>
      <c r="L17" s="186" t="str">
        <f>'08'!L17</f>
        <v>Beiträge ALV*:</v>
      </c>
      <c r="M17" s="43" t="s">
        <v>50</v>
      </c>
      <c r="N17" s="44">
        <v>0.01</v>
      </c>
      <c r="O17" s="38"/>
      <c r="P17" s="50" t="e">
        <f>$Q$13*N17</f>
        <v>#N/A</v>
      </c>
      <c r="Q17" s="46"/>
    </row>
    <row r="18" spans="1:18" ht="15" customHeight="1">
      <c r="A18" s="184">
        <v>403</v>
      </c>
      <c r="B18" s="15">
        <f t="shared" si="1"/>
        <v>43687</v>
      </c>
      <c r="C18" s="154" t="s">
        <v>251</v>
      </c>
      <c r="D18" s="185"/>
      <c r="E18" s="268"/>
      <c r="F18" s="268"/>
      <c r="G18" s="269"/>
      <c r="H18" s="12">
        <f t="shared" si="0"/>
        <v>0</v>
      </c>
      <c r="I18" s="13">
        <f t="shared" si="2"/>
        <v>0</v>
      </c>
      <c r="J18" s="407" t="str">
        <f>VLOOKUP(A18,Tb_Traduction,DB_Langue,FALSE)</f>
        <v>Eine rote Zelle zeigt eine Falscheingabe an. Nur die Werte a, b, c, d, e, f, g oder h können eingegeben werden.</v>
      </c>
      <c r="L18" s="186" t="str">
        <f>'08'!L18</f>
        <v>Nichtbetriebsunfall:</v>
      </c>
      <c r="M18" s="43" t="s">
        <v>50</v>
      </c>
      <c r="N18" s="44">
        <v>0.0136</v>
      </c>
      <c r="O18" s="38"/>
      <c r="P18" s="51" t="e">
        <f>$Q$13*N18</f>
        <v>#N/A</v>
      </c>
      <c r="Q18" s="46"/>
      <c r="R18" s="222"/>
    </row>
    <row r="19" spans="2:17" ht="15">
      <c r="B19" s="15">
        <f t="shared" si="1"/>
        <v>43688</v>
      </c>
      <c r="C19" s="154" t="s">
        <v>109</v>
      </c>
      <c r="D19" s="185"/>
      <c r="E19" s="268"/>
      <c r="F19" s="268"/>
      <c r="G19" s="269"/>
      <c r="H19" s="12">
        <f t="shared" si="0"/>
        <v>33</v>
      </c>
      <c r="I19" s="13">
        <f t="shared" si="2"/>
        <v>33</v>
      </c>
      <c r="J19" s="407"/>
      <c r="L19" s="186" t="str">
        <f>'08'!L19</f>
        <v>Krankentaggeld:</v>
      </c>
      <c r="M19" s="43" t="s">
        <v>50</v>
      </c>
      <c r="N19" s="44">
        <v>0.0065</v>
      </c>
      <c r="O19" s="38"/>
      <c r="P19" s="50" t="e">
        <f>$Q$13*N19</f>
        <v>#N/A</v>
      </c>
      <c r="Q19" s="46"/>
    </row>
    <row r="20" spans="2:16" ht="15">
      <c r="B20" s="15">
        <f t="shared" si="1"/>
        <v>43689</v>
      </c>
      <c r="C20" s="154" t="s">
        <v>109</v>
      </c>
      <c r="D20" s="185"/>
      <c r="E20" s="268"/>
      <c r="F20" s="268"/>
      <c r="G20" s="269"/>
      <c r="H20" s="12">
        <f t="shared" si="0"/>
        <v>33</v>
      </c>
      <c r="I20" s="13">
        <f t="shared" si="2"/>
        <v>33</v>
      </c>
      <c r="J20" s="407"/>
      <c r="L20" s="186" t="str">
        <f>'08'!L20</f>
        <v>Anderer Abzug:</v>
      </c>
      <c r="M20" s="450"/>
      <c r="N20" s="450"/>
      <c r="O20" s="38"/>
      <c r="P20" s="187"/>
    </row>
    <row r="21" spans="2:16" ht="15.75" thickBot="1">
      <c r="B21" s="15">
        <f t="shared" si="1"/>
        <v>43690</v>
      </c>
      <c r="C21" s="154" t="s">
        <v>109</v>
      </c>
      <c r="D21" s="185"/>
      <c r="E21" s="268"/>
      <c r="F21" s="268"/>
      <c r="G21" s="269"/>
      <c r="H21" s="12">
        <f t="shared" si="0"/>
        <v>33</v>
      </c>
      <c r="I21" s="13">
        <f t="shared" si="2"/>
        <v>33</v>
      </c>
      <c r="J21" s="401"/>
      <c r="L21" s="38" t="e">
        <f>'08'!L21</f>
        <v>#N/A</v>
      </c>
      <c r="M21" s="34"/>
      <c r="N21" s="34"/>
      <c r="O21" s="38"/>
      <c r="P21" s="50">
        <f>I40</f>
        <v>794</v>
      </c>
    </row>
    <row r="22" spans="2:16" ht="15.75" thickBot="1">
      <c r="B22" s="15">
        <f t="shared" si="1"/>
        <v>43691</v>
      </c>
      <c r="C22" s="154" t="s">
        <v>109</v>
      </c>
      <c r="D22" s="185"/>
      <c r="E22" s="268"/>
      <c r="F22" s="268"/>
      <c r="G22" s="269"/>
      <c r="H22" s="12">
        <f t="shared" si="0"/>
        <v>33</v>
      </c>
      <c r="I22" s="13">
        <f t="shared" si="2"/>
        <v>33</v>
      </c>
      <c r="J22" s="182"/>
      <c r="L22" s="41" t="str">
        <f>'08'!L22</f>
        <v>*) sofern pflichtig</v>
      </c>
      <c r="P22" s="47"/>
    </row>
    <row r="23" spans="1:17" ht="15" customHeight="1">
      <c r="A23" s="184">
        <v>404</v>
      </c>
      <c r="B23" s="15">
        <f t="shared" si="1"/>
        <v>43692</v>
      </c>
      <c r="C23" s="154" t="s">
        <v>109</v>
      </c>
      <c r="D23" s="185"/>
      <c r="E23" s="268"/>
      <c r="F23" s="268"/>
      <c r="G23" s="269"/>
      <c r="H23" s="12">
        <f t="shared" si="0"/>
        <v>33</v>
      </c>
      <c r="I23" s="13">
        <f t="shared" si="2"/>
        <v>33</v>
      </c>
      <c r="J23" s="400" t="str">
        <f>VLOOKUP(A23,Tb_Traduction,DB_Langue,FALSE)</f>
        <v>Die roten Felder zeigen die Naturallohnabzüge pro Tag an.</v>
      </c>
      <c r="Q23" s="46"/>
    </row>
    <row r="24" spans="2:17" ht="15">
      <c r="B24" s="15">
        <f t="shared" si="1"/>
        <v>43693</v>
      </c>
      <c r="C24" s="154" t="s">
        <v>35</v>
      </c>
      <c r="D24" s="185"/>
      <c r="E24" s="268"/>
      <c r="F24" s="268"/>
      <c r="G24" s="269"/>
      <c r="H24" s="12">
        <f t="shared" si="0"/>
        <v>23</v>
      </c>
      <c r="I24" s="13">
        <f t="shared" si="2"/>
        <v>23</v>
      </c>
      <c r="J24" s="407"/>
      <c r="L24" s="39" t="str">
        <f>'08'!L24</f>
        <v>Total Abzüge</v>
      </c>
      <c r="Q24" s="49" t="e">
        <f>INT((SUM(P16:P21)*20)+0.5)/20</f>
        <v>#N/A</v>
      </c>
    </row>
    <row r="25" spans="2:17" ht="15.75" thickBot="1">
      <c r="B25" s="15">
        <f t="shared" si="1"/>
        <v>43694</v>
      </c>
      <c r="C25" s="154" t="s">
        <v>111</v>
      </c>
      <c r="D25" s="185"/>
      <c r="E25" s="268"/>
      <c r="F25" s="268"/>
      <c r="G25" s="269"/>
      <c r="H25" s="12">
        <f t="shared" si="0"/>
        <v>23</v>
      </c>
      <c r="I25" s="13">
        <f t="shared" si="2"/>
        <v>23</v>
      </c>
      <c r="J25" s="401"/>
      <c r="Q25" s="47"/>
    </row>
    <row r="26" spans="2:17" ht="15.75" thickBot="1">
      <c r="B26" s="15">
        <f t="shared" si="1"/>
        <v>43695</v>
      </c>
      <c r="C26" s="154" t="s">
        <v>109</v>
      </c>
      <c r="D26" s="185"/>
      <c r="E26" s="268"/>
      <c r="F26" s="268"/>
      <c r="G26" s="269"/>
      <c r="H26" s="12">
        <f t="shared" si="0"/>
        <v>33</v>
      </c>
      <c r="I26" s="13">
        <f t="shared" si="2"/>
        <v>33</v>
      </c>
      <c r="J26" s="182"/>
      <c r="L26" s="39" t="str">
        <f>'08'!L26</f>
        <v>Rückvergügungen</v>
      </c>
      <c r="M26" s="34"/>
      <c r="N26" s="34"/>
      <c r="O26" s="38"/>
      <c r="P26" s="45"/>
      <c r="Q26" s="46"/>
    </row>
    <row r="27" spans="1:17" ht="15" customHeight="1">
      <c r="A27" s="184">
        <v>405</v>
      </c>
      <c r="B27" s="15">
        <f t="shared" si="1"/>
        <v>43696</v>
      </c>
      <c r="C27" s="154" t="s">
        <v>109</v>
      </c>
      <c r="D27" s="185"/>
      <c r="E27" s="268"/>
      <c r="F27" s="268"/>
      <c r="G27" s="269"/>
      <c r="H27" s="12">
        <f t="shared" si="0"/>
        <v>33</v>
      </c>
      <c r="I27" s="13">
        <f t="shared" si="2"/>
        <v>33</v>
      </c>
      <c r="J27" s="400" t="str">
        <f>VLOOKUP(A27,Tb_Traduction,DB_Langue,FALSE)</f>
        <v>Der Naturallohnabzug wird automatisch berechnet.</v>
      </c>
      <c r="L27" s="38" t="str">
        <f>'08'!L27</f>
        <v>Kostenbeteiligungen</v>
      </c>
      <c r="M27" s="450"/>
      <c r="N27" s="450"/>
      <c r="O27" s="38"/>
      <c r="P27" s="188"/>
      <c r="Q27" s="46"/>
    </row>
    <row r="28" spans="2:17" ht="15" customHeight="1" thickBot="1">
      <c r="B28" s="15">
        <f t="shared" si="1"/>
        <v>43697</v>
      </c>
      <c r="C28" s="154" t="s">
        <v>109</v>
      </c>
      <c r="D28" s="185"/>
      <c r="E28" s="268"/>
      <c r="F28" s="268"/>
      <c r="G28" s="269"/>
      <c r="H28" s="12">
        <f t="shared" si="0"/>
        <v>33</v>
      </c>
      <c r="I28" s="13">
        <f t="shared" si="2"/>
        <v>33</v>
      </c>
      <c r="J28" s="401"/>
      <c r="L28" s="38" t="str">
        <f>'08'!L28</f>
        <v>Übrige Rückvergütungen</v>
      </c>
      <c r="M28" s="451"/>
      <c r="N28" s="451"/>
      <c r="O28" s="38"/>
      <c r="P28" s="187"/>
      <c r="Q28" s="46"/>
    </row>
    <row r="29" spans="2:10" ht="15.75" thickBot="1">
      <c r="B29" s="15">
        <f t="shared" si="1"/>
        <v>43698</v>
      </c>
      <c r="C29" s="154" t="s">
        <v>109</v>
      </c>
      <c r="D29" s="185"/>
      <c r="E29" s="268"/>
      <c r="F29" s="268"/>
      <c r="G29" s="269"/>
      <c r="H29" s="12">
        <f t="shared" si="0"/>
        <v>33</v>
      </c>
      <c r="I29" s="13">
        <f t="shared" si="2"/>
        <v>33</v>
      </c>
      <c r="J29" s="182"/>
    </row>
    <row r="30" spans="1:17" ht="15" customHeight="1">
      <c r="A30" s="184">
        <v>406</v>
      </c>
      <c r="B30" s="15">
        <f t="shared" si="1"/>
        <v>43699</v>
      </c>
      <c r="C30" s="154" t="s">
        <v>35</v>
      </c>
      <c r="D30" s="185"/>
      <c r="E30" s="268"/>
      <c r="F30" s="268"/>
      <c r="G30" s="269"/>
      <c r="H30" s="12">
        <f t="shared" si="0"/>
        <v>23</v>
      </c>
      <c r="I30" s="13">
        <f t="shared" si="2"/>
        <v>23</v>
      </c>
      <c r="J30" s="400" t="str">
        <f>VLOOKUP(A30,Tb_Traduction,DB_Langue,FALSE)</f>
        <v>Für jeden Tag können Sie eine oder mehrere Mahlzeiten hinzufügen oder entfernen.</v>
      </c>
      <c r="L30" s="39" t="str">
        <f>'08'!L30</f>
        <v>Zuschläge</v>
      </c>
      <c r="M30" s="34"/>
      <c r="N30" s="34"/>
      <c r="O30" s="38"/>
      <c r="P30" s="45"/>
      <c r="Q30" s="52">
        <f>SUM(P27:P28)</f>
        <v>0</v>
      </c>
    </row>
    <row r="31" spans="2:17" ht="15">
      <c r="B31" s="15">
        <f t="shared" si="1"/>
        <v>43700</v>
      </c>
      <c r="C31" s="154" t="s">
        <v>35</v>
      </c>
      <c r="D31" s="185"/>
      <c r="E31" s="268"/>
      <c r="F31" s="268"/>
      <c r="G31" s="269"/>
      <c r="H31" s="12">
        <f t="shared" si="0"/>
        <v>23</v>
      </c>
      <c r="I31" s="13">
        <f t="shared" si="2"/>
        <v>23</v>
      </c>
      <c r="J31" s="407"/>
      <c r="L31" s="34"/>
      <c r="M31" s="34"/>
      <c r="N31" s="34"/>
      <c r="O31" s="38"/>
      <c r="P31" s="45"/>
      <c r="Q31" s="46"/>
    </row>
    <row r="32" spans="2:17" ht="15.75" thickBot="1">
      <c r="B32" s="15">
        <f t="shared" si="1"/>
        <v>43701</v>
      </c>
      <c r="C32" s="154" t="s">
        <v>109</v>
      </c>
      <c r="D32" s="185"/>
      <c r="E32" s="268">
        <v>-1</v>
      </c>
      <c r="F32" s="268">
        <v>2</v>
      </c>
      <c r="G32" s="269">
        <v>1</v>
      </c>
      <c r="H32" s="12">
        <f t="shared" si="0"/>
        <v>33</v>
      </c>
      <c r="I32" s="13">
        <f t="shared" si="2"/>
        <v>57.5</v>
      </c>
      <c r="J32" s="401"/>
      <c r="L32" s="39" t="str">
        <f>'08'!L32</f>
        <v>Netto-Auszahlung</v>
      </c>
      <c r="M32" s="34"/>
      <c r="N32" s="34"/>
      <c r="O32" s="38"/>
      <c r="P32" s="45"/>
      <c r="Q32" s="53" t="e">
        <f>Q13+Q30-Q24</f>
        <v>#N/A</v>
      </c>
    </row>
    <row r="33" spans="2:17" ht="15.75" thickBot="1">
      <c r="B33" s="15">
        <f t="shared" si="1"/>
        <v>43702</v>
      </c>
      <c r="C33" s="154" t="s">
        <v>112</v>
      </c>
      <c r="D33" s="185"/>
      <c r="E33" s="268"/>
      <c r="F33" s="268"/>
      <c r="G33" s="269"/>
      <c r="H33" s="12">
        <f t="shared" si="0"/>
        <v>11.5</v>
      </c>
      <c r="I33" s="13">
        <f t="shared" si="2"/>
        <v>11.5</v>
      </c>
      <c r="J33" s="182"/>
      <c r="L33" s="34"/>
      <c r="M33" s="386" t="str">
        <f>'08'!M33</f>
        <v>aktueller
Monat</v>
      </c>
      <c r="N33" s="386" t="str">
        <f>'08'!N33</f>
        <v>Summe der
Vormonate</v>
      </c>
      <c r="O33" s="386" t="str">
        <f>'08'!O33</f>
        <v>Jahresvor-
anschlag:</v>
      </c>
      <c r="P33" s="292"/>
      <c r="Q33" s="386" t="str">
        <f>'08'!Q33</f>
        <v>Aktueller
Saldo</v>
      </c>
    </row>
    <row r="34" spans="1:17" ht="15">
      <c r="A34" s="184">
        <v>407</v>
      </c>
      <c r="B34" s="15">
        <f t="shared" si="1"/>
        <v>43703</v>
      </c>
      <c r="C34" s="154" t="s">
        <v>112</v>
      </c>
      <c r="D34" s="185"/>
      <c r="E34" s="268"/>
      <c r="F34" s="268"/>
      <c r="G34" s="269"/>
      <c r="H34" s="12">
        <f t="shared" si="0"/>
        <v>11.5</v>
      </c>
      <c r="I34" s="13">
        <f t="shared" si="2"/>
        <v>11.5</v>
      </c>
      <c r="J34" s="400" t="str">
        <f>VLOOKUP(A34,Tb_Traduction,DB_Langue,FALSE)</f>
        <v>Der angepasste Betrag des Naturallohns wird automatisch berechnet. </v>
      </c>
      <c r="L34" s="56" t="str">
        <f>'08'!L34</f>
        <v>Tagesabrechnung</v>
      </c>
      <c r="M34" s="387">
        <f>'08'!M34</f>
        <v>0</v>
      </c>
      <c r="N34" s="387">
        <f>'08'!N34</f>
        <v>0</v>
      </c>
      <c r="O34" s="387">
        <f>'08'!O34</f>
        <v>0</v>
      </c>
      <c r="P34" s="292"/>
      <c r="Q34" s="387">
        <f>'08'!Q34</f>
        <v>0</v>
      </c>
    </row>
    <row r="35" spans="2:17" ht="15.75" thickBot="1">
      <c r="B35" s="15">
        <f t="shared" si="1"/>
        <v>43704</v>
      </c>
      <c r="C35" s="154" t="s">
        <v>112</v>
      </c>
      <c r="D35" s="185"/>
      <c r="E35" s="268"/>
      <c r="F35" s="268"/>
      <c r="G35" s="269"/>
      <c r="H35" s="12">
        <f t="shared" si="0"/>
        <v>11.5</v>
      </c>
      <c r="I35" s="13">
        <f t="shared" si="2"/>
        <v>11.5</v>
      </c>
      <c r="J35" s="401"/>
      <c r="L35" s="287" t="str">
        <f>'08'!L35</f>
        <v>Arbeit:</v>
      </c>
      <c r="M35" s="262">
        <f aca="true" t="shared" si="3" ref="M35:N37">H43</f>
        <v>16</v>
      </c>
      <c r="N35" s="262">
        <f t="shared" si="3"/>
        <v>0</v>
      </c>
      <c r="O35" s="262" t="e">
        <f>NJ_Travail</f>
        <v>#N/A</v>
      </c>
      <c r="Q35" s="263" t="e">
        <f aca="true" t="shared" si="4" ref="Q35:Q42">O35-N35-M35</f>
        <v>#N/A</v>
      </c>
    </row>
    <row r="36" spans="2:17" ht="15" customHeight="1">
      <c r="B36" s="15">
        <f t="shared" si="1"/>
        <v>43705</v>
      </c>
      <c r="C36" s="154" t="s">
        <v>112</v>
      </c>
      <c r="D36" s="185"/>
      <c r="E36" s="268"/>
      <c r="F36" s="268"/>
      <c r="G36" s="269"/>
      <c r="H36" s="12">
        <f t="shared" si="0"/>
        <v>11.5</v>
      </c>
      <c r="I36" s="13">
        <f t="shared" si="2"/>
        <v>11.5</v>
      </c>
      <c r="J36" s="400" t="str">
        <f>VLOOKUP(A37,Tb_Traduction,DB_Langue,FALSE)</f>
        <v>Das Total der Naturallohnabzüge wird in die Monatsabrechnung übertragen, wenn der effektive Naturallohn angezeigt wird. Sonst wird der monatliche Naturallohn übertragt.</v>
      </c>
      <c r="L36" s="287" t="str">
        <f>'08'!L36</f>
        <v>Schultage:</v>
      </c>
      <c r="M36" s="178">
        <f t="shared" si="3"/>
        <v>3</v>
      </c>
      <c r="N36" s="178">
        <f t="shared" si="3"/>
        <v>0</v>
      </c>
      <c r="O36" s="178" t="e">
        <f>NJ_CoursProf</f>
        <v>#N/A</v>
      </c>
      <c r="Q36" s="179" t="e">
        <f t="shared" si="4"/>
        <v>#N/A</v>
      </c>
    </row>
    <row r="37" spans="1:17" ht="15" customHeight="1">
      <c r="A37" s="184">
        <v>408</v>
      </c>
      <c r="B37" s="15">
        <f t="shared" si="1"/>
        <v>43706</v>
      </c>
      <c r="C37" s="154" t="s">
        <v>35</v>
      </c>
      <c r="D37" s="185"/>
      <c r="E37" s="268"/>
      <c r="F37" s="268"/>
      <c r="G37" s="269"/>
      <c r="H37" s="12">
        <f t="shared" si="0"/>
        <v>23</v>
      </c>
      <c r="I37" s="13">
        <f t="shared" si="2"/>
        <v>23</v>
      </c>
      <c r="J37" s="407"/>
      <c r="L37" s="287" t="str">
        <f>'08'!L37</f>
        <v>üK:</v>
      </c>
      <c r="M37" s="178">
        <f t="shared" si="3"/>
        <v>4</v>
      </c>
      <c r="N37" s="178">
        <f t="shared" si="3"/>
        <v>0</v>
      </c>
      <c r="O37" s="178" t="e">
        <f>NJ_CoursIE</f>
        <v>#N/A</v>
      </c>
      <c r="Q37" s="179" t="e">
        <f t="shared" si="4"/>
        <v>#N/A</v>
      </c>
    </row>
    <row r="38" spans="2:17" ht="15">
      <c r="B38" s="15">
        <f t="shared" si="1"/>
        <v>43707</v>
      </c>
      <c r="C38" s="154" t="s">
        <v>109</v>
      </c>
      <c r="D38" s="185"/>
      <c r="E38" s="268"/>
      <c r="F38" s="268"/>
      <c r="G38" s="269"/>
      <c r="H38" s="12">
        <f t="shared" si="0"/>
        <v>33</v>
      </c>
      <c r="I38" s="13">
        <f t="shared" si="2"/>
        <v>33</v>
      </c>
      <c r="J38" s="407"/>
      <c r="L38" s="287" t="str">
        <f>'08'!L38</f>
        <v>Militär:</v>
      </c>
      <c r="M38" s="178">
        <f>H46</f>
        <v>0</v>
      </c>
      <c r="N38" s="178">
        <f>I46</f>
        <v>0</v>
      </c>
      <c r="O38" s="178" t="e">
        <f>NJ_CoursIE</f>
        <v>#N/A</v>
      </c>
      <c r="Q38" s="179" t="e">
        <f>O38-N38-M38</f>
        <v>#N/A</v>
      </c>
    </row>
    <row r="39" spans="2:17" ht="15.75" thickBot="1">
      <c r="B39" s="343">
        <f t="shared" si="1"/>
        <v>43708</v>
      </c>
      <c r="C39" s="154" t="s">
        <v>111</v>
      </c>
      <c r="D39" s="185"/>
      <c r="E39" s="268"/>
      <c r="F39" s="268"/>
      <c r="G39" s="269"/>
      <c r="H39" s="12">
        <f t="shared" si="0"/>
        <v>23</v>
      </c>
      <c r="I39" s="13">
        <f t="shared" si="2"/>
        <v>23</v>
      </c>
      <c r="J39" s="407"/>
      <c r="L39" s="287" t="str">
        <f>'08'!L39</f>
        <v>Frei:</v>
      </c>
      <c r="M39" s="262">
        <f>H47</f>
        <v>3</v>
      </c>
      <c r="N39" s="262">
        <f>I47</f>
        <v>0</v>
      </c>
      <c r="O39" s="262" t="e">
        <f>NJ_Conge</f>
        <v>#N/A</v>
      </c>
      <c r="Q39" s="263" t="e">
        <f t="shared" si="4"/>
        <v>#N/A</v>
      </c>
    </row>
    <row r="40" spans="2:17" ht="15.75" thickBot="1">
      <c r="B40" s="335" t="str">
        <f>'08'!B40</f>
        <v>Total</v>
      </c>
      <c r="C40" s="336">
        <f>COUNTIF(C9:C39,"a")+COUNTIF(C9:C39,"b")+COUNTIF(C9:C39,"c")+COUNTIF(C9:C39,"d")+COUNTIF(C9:C39,"e")+COUNTIF(C9:C39,"f")+COUNTIF(C9:C39,"g")+COUNTIF(C9:C39,"h")+COUNTIF(C9:C39,"i")</f>
        <v>30</v>
      </c>
      <c r="D40" s="17">
        <f aca="true" t="shared" si="5" ref="D40:I40">SUM(D9:D39)</f>
        <v>0</v>
      </c>
      <c r="E40" s="18">
        <f t="shared" si="5"/>
        <v>-1</v>
      </c>
      <c r="F40" s="18">
        <f t="shared" si="5"/>
        <v>2</v>
      </c>
      <c r="G40" s="19">
        <f t="shared" si="5"/>
        <v>1</v>
      </c>
      <c r="H40" s="20">
        <f t="shared" si="5"/>
        <v>769.5</v>
      </c>
      <c r="I40" s="21">
        <f t="shared" si="5"/>
        <v>794</v>
      </c>
      <c r="J40" s="337" t="e">
        <f>INT(((Sa_NatureMensuel/H42*C40)*20)+0.5)/20</f>
        <v>#N/A</v>
      </c>
      <c r="L40" s="288" t="str">
        <f>'08'!L40</f>
        <v>Ferien:</v>
      </c>
      <c r="M40" s="289">
        <f aca="true" t="shared" si="6" ref="M40:N42">H48</f>
        <v>4</v>
      </c>
      <c r="N40" s="289">
        <f t="shared" si="6"/>
        <v>0</v>
      </c>
      <c r="O40" s="289" t="e">
        <f>NJ_Vacances</f>
        <v>#N/A</v>
      </c>
      <c r="Q40" s="290" t="e">
        <f t="shared" si="4"/>
        <v>#N/A</v>
      </c>
    </row>
    <row r="41" spans="2:17" ht="15.75" thickBot="1">
      <c r="B41" s="452"/>
      <c r="C41" s="453"/>
      <c r="D41" s="454"/>
      <c r="E41" s="454"/>
      <c r="F41" s="454"/>
      <c r="G41" s="455"/>
      <c r="H41" s="286">
        <f>B3</f>
        <v>43678</v>
      </c>
      <c r="I41" s="22" t="str">
        <f>'08'!I41</f>
        <v>Total</v>
      </c>
      <c r="J41" s="23"/>
      <c r="L41" s="288" t="str">
        <f>'08'!L41</f>
        <v>Unfall:</v>
      </c>
      <c r="M41" s="289">
        <f t="shared" si="6"/>
        <v>0</v>
      </c>
      <c r="N41" s="289">
        <f t="shared" si="6"/>
        <v>0</v>
      </c>
      <c r="O41" s="289">
        <v>0</v>
      </c>
      <c r="Q41" s="290">
        <f t="shared" si="4"/>
        <v>0</v>
      </c>
    </row>
    <row r="42" spans="2:17" ht="15.75" thickBot="1">
      <c r="B42" s="408" t="str">
        <f>'08'!B42</f>
        <v>Tagesabrechnung</v>
      </c>
      <c r="C42" s="409" t="e">
        <f>'08'!C42</f>
        <v>#N/A</v>
      </c>
      <c r="D42" s="409" t="e">
        <f>'08'!D42</f>
        <v>#REF!</v>
      </c>
      <c r="E42" s="409" t="e">
        <f>'08'!E42</f>
        <v>#REF!</v>
      </c>
      <c r="F42" s="409" t="e">
        <f>'08'!F42</f>
        <v>#REF!</v>
      </c>
      <c r="G42" s="410" t="e">
        <f>'08'!G42</f>
        <v>#REF!</v>
      </c>
      <c r="H42" s="24">
        <v>31</v>
      </c>
      <c r="I42" s="25">
        <v>0</v>
      </c>
      <c r="J42" s="26"/>
      <c r="L42" s="287" t="str">
        <f>'08'!L42</f>
        <v>Krankheit:</v>
      </c>
      <c r="M42" s="178">
        <f t="shared" si="6"/>
        <v>0</v>
      </c>
      <c r="N42" s="178">
        <f t="shared" si="6"/>
        <v>0</v>
      </c>
      <c r="O42" s="178">
        <v>0</v>
      </c>
      <c r="Q42" s="290">
        <f t="shared" si="4"/>
        <v>0</v>
      </c>
    </row>
    <row r="43" spans="1:10" ht="15" customHeight="1">
      <c r="A43" s="184">
        <v>409</v>
      </c>
      <c r="B43" s="402" t="str">
        <f>'08'!B43</f>
        <v>Arbeitstage ( a )</v>
      </c>
      <c r="C43" s="403" t="e">
        <f>'08'!C43</f>
        <v>#N/A</v>
      </c>
      <c r="D43" s="403" t="e">
        <f>'08'!D43</f>
        <v>#REF!</v>
      </c>
      <c r="E43" s="403" t="e">
        <f>'08'!E43</f>
        <v>#REF!</v>
      </c>
      <c r="F43" s="403" t="e">
        <f>'08'!F43</f>
        <v>#REF!</v>
      </c>
      <c r="G43" s="404" t="e">
        <f>'08'!G43</f>
        <v>#REF!</v>
      </c>
      <c r="H43" s="27">
        <f>COUNTIF(C9:C39,"a")+COUNTIF(C9:C39,"f")/2</f>
        <v>16</v>
      </c>
      <c r="I43" s="28">
        <v>0</v>
      </c>
      <c r="J43" s="388" t="str">
        <f>VLOOKUP(A43,Tb_Traduction,DB_Langue,FALSE)</f>
        <v>Die Tagesabrechnung wird in die Monatsabrechnung übertragen.</v>
      </c>
    </row>
    <row r="44" spans="2:17" ht="15">
      <c r="B44" s="402" t="str">
        <f>'08'!B44</f>
        <v>Schultage ( b )</v>
      </c>
      <c r="C44" s="403" t="e">
        <f>'08'!C44</f>
        <v>#N/A</v>
      </c>
      <c r="D44" s="403" t="e">
        <f>'08'!D44</f>
        <v>#REF!</v>
      </c>
      <c r="E44" s="403" t="e">
        <f>'08'!E44</f>
        <v>#REF!</v>
      </c>
      <c r="F44" s="403" t="e">
        <f>'08'!F44</f>
        <v>#REF!</v>
      </c>
      <c r="G44" s="404" t="e">
        <f>'08'!G44</f>
        <v>#REF!</v>
      </c>
      <c r="H44" s="27">
        <f>COUNTIF(C9:C39,"b")</f>
        <v>3</v>
      </c>
      <c r="I44" s="28">
        <v>0</v>
      </c>
      <c r="J44" s="389"/>
      <c r="L44" s="38" t="str">
        <f>'08'!L44</f>
        <v>Bemerkungen:</v>
      </c>
      <c r="M44" s="391"/>
      <c r="N44" s="392"/>
      <c r="O44" s="392"/>
      <c r="P44" s="392"/>
      <c r="Q44" s="393"/>
    </row>
    <row r="45" spans="2:17" ht="15.75" thickBot="1">
      <c r="B45" s="402" t="str">
        <f>'08'!B45</f>
        <v>überbetriebliche Kurse ( c )</v>
      </c>
      <c r="C45" s="403" t="e">
        <f>'08'!C45</f>
        <v>#N/A</v>
      </c>
      <c r="D45" s="403" t="e">
        <f>'08'!D45</f>
        <v>#REF!</v>
      </c>
      <c r="E45" s="403" t="e">
        <f>'08'!E45</f>
        <v>#REF!</v>
      </c>
      <c r="F45" s="403" t="e">
        <f>'08'!F45</f>
        <v>#REF!</v>
      </c>
      <c r="G45" s="404" t="e">
        <f>'08'!G45</f>
        <v>#REF!</v>
      </c>
      <c r="H45" s="27">
        <f>COUNTIF(C9:C39,"c")</f>
        <v>4</v>
      </c>
      <c r="I45" s="28">
        <v>0</v>
      </c>
      <c r="J45" s="390"/>
      <c r="L45" s="34"/>
      <c r="M45" s="394"/>
      <c r="N45" s="395"/>
      <c r="O45" s="395"/>
      <c r="P45" s="395"/>
      <c r="Q45" s="396"/>
    </row>
    <row r="46" spans="2:17" ht="15">
      <c r="B46" s="402" t="str">
        <f>'08'!B46</f>
        <v>Militär ( i )</v>
      </c>
      <c r="C46" s="403" t="e">
        <f>'08'!C46</f>
        <v>#N/A</v>
      </c>
      <c r="D46" s="403" t="e">
        <f>'08'!D46</f>
        <v>#REF!</v>
      </c>
      <c r="E46" s="403" t="e">
        <f>'08'!E46</f>
        <v>#REF!</v>
      </c>
      <c r="F46" s="403" t="e">
        <f>'08'!F46</f>
        <v>#REF!</v>
      </c>
      <c r="G46" s="404" t="e">
        <f>'08'!G46</f>
        <v>#REF!</v>
      </c>
      <c r="H46" s="27">
        <f>COUNTIF(C10:C40,"i")</f>
        <v>0</v>
      </c>
      <c r="I46" s="28">
        <v>0</v>
      </c>
      <c r="J46" s="29"/>
      <c r="L46" s="34"/>
      <c r="M46" s="397"/>
      <c r="N46" s="398"/>
      <c r="O46" s="398"/>
      <c r="P46" s="398"/>
      <c r="Q46" s="399"/>
    </row>
    <row r="47" spans="2:17" ht="15">
      <c r="B47" s="402" t="str">
        <f>'08'!B47</f>
        <v>Frei ( d )</v>
      </c>
      <c r="C47" s="403" t="e">
        <f>'08'!C47</f>
        <v>#N/A</v>
      </c>
      <c r="D47" s="403" t="e">
        <f>'08'!D47</f>
        <v>#REF!</v>
      </c>
      <c r="E47" s="403" t="e">
        <f>'08'!E47</f>
        <v>#REF!</v>
      </c>
      <c r="F47" s="403" t="e">
        <f>'08'!F47</f>
        <v>#REF!</v>
      </c>
      <c r="G47" s="404" t="e">
        <f>'08'!G47</f>
        <v>#REF!</v>
      </c>
      <c r="H47" s="27">
        <f>COUNTIF(C9:C39,"d")+COUNTIF(C9:C39,"f")/2</f>
        <v>3</v>
      </c>
      <c r="I47" s="28">
        <v>0</v>
      </c>
      <c r="J47" s="29"/>
      <c r="L47" s="34"/>
      <c r="M47" s="34"/>
      <c r="N47" s="34"/>
      <c r="O47" s="38"/>
      <c r="P47" s="34"/>
      <c r="Q47" s="40"/>
    </row>
    <row r="48" spans="2:17" ht="15">
      <c r="B48" s="402" t="str">
        <f>'08'!B48</f>
        <v>Ferien ( e )</v>
      </c>
      <c r="C48" s="403" t="e">
        <f>'08'!C48</f>
        <v>#N/A</v>
      </c>
      <c r="D48" s="403" t="e">
        <f>'08'!D48</f>
        <v>#REF!</v>
      </c>
      <c r="E48" s="403" t="e">
        <f>'08'!E48</f>
        <v>#REF!</v>
      </c>
      <c r="F48" s="403" t="e">
        <f>'08'!F48</f>
        <v>#REF!</v>
      </c>
      <c r="G48" s="404" t="e">
        <f>'08'!G48</f>
        <v>#REF!</v>
      </c>
      <c r="H48" s="27">
        <f>COUNTIF(C9:C39,"e")</f>
        <v>4</v>
      </c>
      <c r="I48" s="28">
        <v>0</v>
      </c>
      <c r="J48" s="29"/>
      <c r="L48" s="38" t="str">
        <f>'08'!L48</f>
        <v>Datum</v>
      </c>
      <c r="M48" s="189"/>
      <c r="N48" s="34"/>
      <c r="O48" s="38" t="str">
        <f>'08'!O48</f>
        <v>Berufsbildner /in</v>
      </c>
      <c r="P48" s="54"/>
      <c r="Q48" s="55"/>
    </row>
    <row r="49" spans="2:17" ht="15">
      <c r="B49" s="402" t="str">
        <f>'08'!B49</f>
        <v>Unfall ( g )</v>
      </c>
      <c r="C49" s="403" t="e">
        <f>'08'!C49</f>
        <v>#N/A</v>
      </c>
      <c r="D49" s="403" t="e">
        <f>'08'!D49</f>
        <v>#REF!</v>
      </c>
      <c r="E49" s="403" t="e">
        <f>'08'!E49</f>
        <v>#REF!</v>
      </c>
      <c r="F49" s="403" t="e">
        <f>'08'!F49</f>
        <v>#REF!</v>
      </c>
      <c r="G49" s="404" t="e">
        <f>'08'!G49</f>
        <v>#REF!</v>
      </c>
      <c r="H49" s="27">
        <f>COUNTIF(C9:C39,"g")</f>
        <v>0</v>
      </c>
      <c r="I49" s="28">
        <v>0</v>
      </c>
      <c r="J49" s="29"/>
      <c r="L49" s="34"/>
      <c r="M49" s="34"/>
      <c r="N49" s="34"/>
      <c r="O49" s="38"/>
      <c r="P49" s="34"/>
      <c r="Q49" s="40"/>
    </row>
    <row r="50" spans="2:17" ht="15.75" thickBot="1">
      <c r="B50" s="383" t="str">
        <f>'08'!B50</f>
        <v>Krankheit ( h )</v>
      </c>
      <c r="C50" s="384" t="e">
        <f>'08'!C50</f>
        <v>#N/A</v>
      </c>
      <c r="D50" s="384" t="e">
        <f>'08'!D50</f>
        <v>#REF!</v>
      </c>
      <c r="E50" s="384" t="e">
        <f>'08'!E50</f>
        <v>#REF!</v>
      </c>
      <c r="F50" s="384" t="e">
        <f>'08'!F50</f>
        <v>#REF!</v>
      </c>
      <c r="G50" s="385" t="e">
        <f>'08'!G50</f>
        <v>#REF!</v>
      </c>
      <c r="H50" s="30">
        <f>COUNTIF(C9:C39,"h")</f>
        <v>0</v>
      </c>
      <c r="I50" s="31">
        <v>0</v>
      </c>
      <c r="J50" s="32"/>
      <c r="L50" s="34"/>
      <c r="M50" s="35"/>
      <c r="N50" s="34"/>
      <c r="O50" s="38" t="str">
        <f>'08'!O50</f>
        <v>Lernende /r</v>
      </c>
      <c r="P50" s="54"/>
      <c r="Q50" s="55"/>
    </row>
    <row r="51" spans="12:13" ht="14.25">
      <c r="L51" s="34"/>
      <c r="M51" s="34"/>
    </row>
  </sheetData>
  <sheetProtection password="83EF" sheet="1" objects="1" scenarios="1"/>
  <mergeCells count="45">
    <mergeCell ref="M20:N20"/>
    <mergeCell ref="M27:N27"/>
    <mergeCell ref="M28:N28"/>
    <mergeCell ref="B41:G41"/>
    <mergeCell ref="J23:J25"/>
    <mergeCell ref="J27:J28"/>
    <mergeCell ref="J30:J32"/>
    <mergeCell ref="J36:J39"/>
    <mergeCell ref="C2:J2"/>
    <mergeCell ref="B1:J1"/>
    <mergeCell ref="L1:Q1"/>
    <mergeCell ref="M3:N3"/>
    <mergeCell ref="O3:P3"/>
    <mergeCell ref="B3:B8"/>
    <mergeCell ref="C3:C8"/>
    <mergeCell ref="D3:D8"/>
    <mergeCell ref="E3:E8"/>
    <mergeCell ref="F3:F8"/>
    <mergeCell ref="G3:G8"/>
    <mergeCell ref="M5:Q5"/>
    <mergeCell ref="M6:Q6"/>
    <mergeCell ref="M7:Q7"/>
    <mergeCell ref="M8:N8"/>
    <mergeCell ref="H3:H8"/>
    <mergeCell ref="I3:I8"/>
    <mergeCell ref="J3:J7"/>
    <mergeCell ref="J9:J10"/>
    <mergeCell ref="J18:J21"/>
    <mergeCell ref="B49:G49"/>
    <mergeCell ref="B48:G48"/>
    <mergeCell ref="B43:G43"/>
    <mergeCell ref="B42:G42"/>
    <mergeCell ref="B47:G47"/>
    <mergeCell ref="B44:G44"/>
    <mergeCell ref="J11:J17"/>
    <mergeCell ref="B50:G50"/>
    <mergeCell ref="M33:M34"/>
    <mergeCell ref="N33:N34"/>
    <mergeCell ref="J43:J45"/>
    <mergeCell ref="M44:Q46"/>
    <mergeCell ref="J34:J35"/>
    <mergeCell ref="O33:O34"/>
    <mergeCell ref="Q33:Q34"/>
    <mergeCell ref="B45:G45"/>
    <mergeCell ref="B46:G46"/>
  </mergeCells>
  <conditionalFormatting sqref="H9:H39">
    <cfRule type="expression" priority="7" dxfId="6" stopIfTrue="1">
      <formula>C9="a"</formula>
    </cfRule>
    <cfRule type="expression" priority="8" dxfId="5" stopIfTrue="1">
      <formula>OR(C9="b",C9="c")</formula>
    </cfRule>
    <cfRule type="expression" priority="9" dxfId="0" stopIfTrue="1">
      <formula>OR(C9="d",C9="e")</formula>
    </cfRule>
  </conditionalFormatting>
  <conditionalFormatting sqref="E9:E39">
    <cfRule type="cellIs" priority="20" dxfId="9" operator="lessThan" stopIfTrue="1">
      <formula>0</formula>
    </cfRule>
    <cfRule type="cellIs" priority="21" dxfId="8" operator="greaterThan" stopIfTrue="1">
      <formula>0</formula>
    </cfRule>
    <cfRule type="expression" priority="22" dxfId="7" stopIfTrue="1">
      <formula>OR(C9="a",C9="b",C9="c")</formula>
    </cfRule>
  </conditionalFormatting>
  <conditionalFormatting sqref="F9:F39">
    <cfRule type="cellIs" priority="23" dxfId="9" operator="lessThan" stopIfTrue="1">
      <formula>0</formula>
    </cfRule>
    <cfRule type="cellIs" priority="24" dxfId="8" operator="greaterThan" stopIfTrue="1">
      <formula>0</formula>
    </cfRule>
    <cfRule type="expression" priority="25" dxfId="7" stopIfTrue="1">
      <formula>OR(C9="a")</formula>
    </cfRule>
  </conditionalFormatting>
  <conditionalFormatting sqref="G9:G39">
    <cfRule type="cellIs" priority="26" dxfId="9" operator="lessThan" stopIfTrue="1">
      <formula>0</formula>
    </cfRule>
    <cfRule type="cellIs" priority="27" dxfId="8" operator="greaterThan" stopIfTrue="1">
      <formula>0</formula>
    </cfRule>
    <cfRule type="expression" priority="28" dxfId="7" stopIfTrue="1">
      <formula>OR(C9="a",C9="b",C9="c")</formula>
    </cfRule>
  </conditionalFormatting>
  <conditionalFormatting sqref="D9:D39">
    <cfRule type="cellIs" priority="29" dxfId="9" operator="lessThan" stopIfTrue="1">
      <formula>0</formula>
    </cfRule>
    <cfRule type="cellIs" priority="30" dxfId="8" operator="greaterThan" stopIfTrue="1">
      <formula>0</formula>
    </cfRule>
    <cfRule type="expression" priority="31" dxfId="7" stopIfTrue="1">
      <formula>AND(C9&lt;&gt;"",OR(PN_LogisOuiNon=1,AND(PN_LogisOuiNon=2,C9&lt;&gt;"i")))</formula>
    </cfRule>
  </conditionalFormatting>
  <conditionalFormatting sqref="B9:B39">
    <cfRule type="expression" priority="16" dxfId="0" stopIfTrue="1">
      <formula>WEEKDAY(B9)=1</formula>
    </cfRule>
  </conditionalFormatting>
  <conditionalFormatting sqref="C9:C39">
    <cfRule type="expression" priority="33" dxfId="2" stopIfTrue="1">
      <formula>AND(C9&lt;&gt;"",C9&lt;&gt;"a",C9&lt;&gt;"b",C9&lt;&gt;"c",C9&lt;&gt;"d",C9&lt;&gt;"e",C9&lt;&gt;"f",C9&lt;&gt;"g",C9&lt;&gt;"h",C9&lt;&gt;"i")</formula>
    </cfRule>
  </conditionalFormatting>
  <printOptions horizontalCentered="1" verticalCentered="1"/>
  <pageMargins left="0.3937007874015748" right="0.3937007874015748" top="0.5905511811023623" bottom="0.3937007874015748" header="0.5118110236220472" footer="0.31496062992125984"/>
  <pageSetup fitToHeight="1" fitToWidth="1" horizontalDpi="600" verticalDpi="600" orientation="landscape" paperSize="9" scale="73" r:id="rId2"/>
  <headerFooter alignWithMargins="0">
    <oddFooter>&amp;L&amp;A&amp;RPage &amp;P</oddFooter>
  </headerFooter>
  <drawing r:id="rId1"/>
</worksheet>
</file>

<file path=xl/worksheets/sheet10.xml><?xml version="1.0" encoding="utf-8"?>
<worksheet xmlns="http://schemas.openxmlformats.org/spreadsheetml/2006/main" xmlns:r="http://schemas.openxmlformats.org/officeDocument/2006/relationships">
  <sheetPr codeName="Sheet11"/>
  <dimension ref="A1:Q51"/>
  <sheetViews>
    <sheetView zoomScalePageLayoutView="0" workbookViewId="0" topLeftCell="B1">
      <pane xSplit="1" ySplit="8" topLeftCell="C9" activePane="bottomRight" state="frozen"/>
      <selection pane="topLeft" activeCell="C9" sqref="C9"/>
      <selection pane="topRight" activeCell="C9" sqref="C9"/>
      <selection pane="bottomLeft" activeCell="C9" sqref="C9"/>
      <selection pane="bottomRight" activeCell="M20" sqref="M20:N20"/>
    </sheetView>
  </sheetViews>
  <sheetFormatPr defaultColWidth="9.140625" defaultRowHeight="12.75"/>
  <cols>
    <col min="1" max="1" width="4.7109375" style="7" hidden="1" customWidth="1"/>
    <col min="2" max="2" width="14.7109375" style="7" customWidth="1"/>
    <col min="3" max="7" width="3.7109375" style="7" customWidth="1"/>
    <col min="8" max="9" width="8.7109375" style="8" customWidth="1"/>
    <col min="10" max="10" width="38.7109375" style="7" customWidth="1"/>
    <col min="11" max="11" width="2.7109375" style="7" hidden="1" customWidth="1"/>
    <col min="12" max="12" width="27.421875" style="9" customWidth="1"/>
    <col min="13" max="13" width="12.140625" style="9" customWidth="1"/>
    <col min="14" max="14" width="12.7109375" style="9" customWidth="1"/>
    <col min="15" max="15" width="12.7109375" style="33" customWidth="1"/>
    <col min="16" max="16" width="11.00390625" style="9" customWidth="1"/>
    <col min="17" max="17" width="12.7109375" style="9" customWidth="1"/>
    <col min="18" max="16384" width="9.140625" style="2" customWidth="1"/>
  </cols>
  <sheetData>
    <row r="1" spans="1:17" ht="17.25" thickBot="1">
      <c r="A1" s="10"/>
      <c r="B1" s="430" t="str">
        <f>'08'!B1</f>
        <v>Agenda</v>
      </c>
      <c r="C1" s="431"/>
      <c r="D1" s="431"/>
      <c r="E1" s="431"/>
      <c r="F1" s="431"/>
      <c r="G1" s="431"/>
      <c r="H1" s="431"/>
      <c r="I1" s="431"/>
      <c r="J1" s="432"/>
      <c r="K1" s="10"/>
      <c r="L1" s="433" t="str">
        <f>'08'!L1</f>
        <v>Monatliche Lohnabrechnung</v>
      </c>
      <c r="M1" s="434"/>
      <c r="N1" s="434"/>
      <c r="O1" s="434"/>
      <c r="P1" s="434"/>
      <c r="Q1" s="435"/>
    </row>
    <row r="2" spans="1:17" ht="17.25" thickBot="1">
      <c r="A2" s="10"/>
      <c r="B2" s="175" t="str">
        <f>'08'!B2</f>
        <v>Lerndende / r</v>
      </c>
      <c r="C2" s="495" t="str">
        <f>"- "&amp;TRIM(DB_Apprenti)&amp;" -"</f>
        <v>-  -</v>
      </c>
      <c r="D2" s="495"/>
      <c r="E2" s="495"/>
      <c r="F2" s="495"/>
      <c r="G2" s="495"/>
      <c r="H2" s="495"/>
      <c r="I2" s="495"/>
      <c r="J2" s="496"/>
      <c r="K2" s="10"/>
      <c r="L2" s="152"/>
      <c r="M2" s="152"/>
      <c r="N2" s="152"/>
      <c r="O2" s="152"/>
      <c r="P2" s="152"/>
      <c r="Q2" s="152"/>
    </row>
    <row r="3" spans="2:17" ht="15" customHeight="1">
      <c r="B3" s="438">
        <f>DATE(DB_Annee+1,3,1)</f>
        <v>43891</v>
      </c>
      <c r="C3" s="507" t="str">
        <f>'08'!C3</f>
        <v>[ a-b-c-d-e-f-g-h-i ]</v>
      </c>
      <c r="D3" s="444" t="str">
        <f>'08'!D3</f>
        <v>Übernachtung</v>
      </c>
      <c r="E3" s="447" t="str">
        <f>'08'!E3</f>
        <v>Morgenessen</v>
      </c>
      <c r="F3" s="447" t="str">
        <f>'08'!F3</f>
        <v>Mittagessen</v>
      </c>
      <c r="G3" s="413" t="str">
        <f>'08'!G3</f>
        <v>Abendessen</v>
      </c>
      <c r="H3" s="418" t="str">
        <f>'08'!H3</f>
        <v>Betrag Naturallohn</v>
      </c>
      <c r="I3" s="522" t="str">
        <f>'08'!I3</f>
        <v>Angepasster Betrag</v>
      </c>
      <c r="J3" s="503" t="str">
        <f>'08'!J3</f>
        <v>Kommentar
a = Arbeitstag
b = Schultag
c = überbetrieblicher Kurs (üK)
d = Freitag
e = Ferientag
f = 1/2 Arbeitstag, 1/2 Freitag
g = Unfall (ganz Tag)
h = Krankheit (ganz Tag)
i = Miltär</v>
      </c>
      <c r="L3" s="36" t="str">
        <f>'08'!L3</f>
        <v>Monat:</v>
      </c>
      <c r="M3" s="436">
        <f>B3</f>
        <v>43891</v>
      </c>
      <c r="N3" s="436"/>
      <c r="O3" s="437" t="str">
        <f>'08'!O3</f>
        <v>Jahr:</v>
      </c>
      <c r="P3" s="437">
        <f>'08'!P3</f>
        <v>0</v>
      </c>
      <c r="Q3" s="176">
        <f>B3</f>
        <v>43891</v>
      </c>
    </row>
    <row r="4" spans="1:17" ht="15">
      <c r="A4" s="10"/>
      <c r="B4" s="439"/>
      <c r="C4" s="508">
        <f>'08'!C4</f>
        <v>0</v>
      </c>
      <c r="D4" s="445">
        <f>'08'!D4</f>
        <v>0</v>
      </c>
      <c r="E4" s="448">
        <f>'08'!E4</f>
        <v>0</v>
      </c>
      <c r="F4" s="448">
        <f>'08'!F4</f>
        <v>0</v>
      </c>
      <c r="G4" s="414">
        <f>'08'!G4</f>
        <v>0</v>
      </c>
      <c r="H4" s="419">
        <f>'08'!H4</f>
        <v>0</v>
      </c>
      <c r="I4" s="523">
        <f>'08'!I4</f>
        <v>0</v>
      </c>
      <c r="J4" s="524">
        <f>'08'!J4</f>
        <v>0</v>
      </c>
      <c r="K4" s="10"/>
      <c r="L4" s="34"/>
      <c r="M4" s="34"/>
      <c r="N4" s="37"/>
      <c r="O4" s="36"/>
      <c r="P4" s="11"/>
      <c r="Q4" s="11"/>
    </row>
    <row r="5" spans="1:17" ht="15">
      <c r="A5" s="10"/>
      <c r="B5" s="439"/>
      <c r="C5" s="508">
        <f>'08'!C5</f>
        <v>0</v>
      </c>
      <c r="D5" s="445">
        <f>'08'!D5</f>
        <v>0</v>
      </c>
      <c r="E5" s="448">
        <f>'08'!E5</f>
        <v>0</v>
      </c>
      <c r="F5" s="448">
        <f>'08'!F5</f>
        <v>0</v>
      </c>
      <c r="G5" s="414">
        <f>'08'!G5</f>
        <v>0</v>
      </c>
      <c r="H5" s="419">
        <f>'08'!H5</f>
        <v>0</v>
      </c>
      <c r="I5" s="523">
        <f>'08'!I5</f>
        <v>0</v>
      </c>
      <c r="J5" s="524">
        <f>'08'!J5</f>
        <v>0</v>
      </c>
      <c r="K5" s="10"/>
      <c r="L5" s="36" t="str">
        <f>'08'!L5</f>
        <v>Berufsbildner</v>
      </c>
      <c r="M5" s="416">
        <f>TRIM(DB_Maitre)</f>
      </c>
      <c r="N5" s="416"/>
      <c r="O5" s="416"/>
      <c r="P5" s="416"/>
      <c r="Q5" s="416"/>
    </row>
    <row r="6" spans="1:17" ht="15">
      <c r="A6" s="10"/>
      <c r="B6" s="439"/>
      <c r="C6" s="508">
        <f>'08'!C6</f>
        <v>0</v>
      </c>
      <c r="D6" s="445">
        <f>'08'!D6</f>
        <v>0</v>
      </c>
      <c r="E6" s="448">
        <f>'08'!E6</f>
        <v>0</v>
      </c>
      <c r="F6" s="448">
        <f>'08'!F6</f>
        <v>0</v>
      </c>
      <c r="G6" s="414">
        <f>'08'!G6</f>
        <v>0</v>
      </c>
      <c r="H6" s="419">
        <f>'08'!H6</f>
        <v>0</v>
      </c>
      <c r="I6" s="523">
        <f>'08'!I6</f>
        <v>0</v>
      </c>
      <c r="J6" s="524">
        <f>'08'!J6</f>
        <v>0</v>
      </c>
      <c r="K6" s="10"/>
      <c r="L6" s="36" t="str">
        <f>'08'!L6</f>
        <v>Ort</v>
      </c>
      <c r="M6" s="417">
        <f>TRIM(DB_MaitreLieu)</f>
      </c>
      <c r="N6" s="417"/>
      <c r="O6" s="417"/>
      <c r="P6" s="417"/>
      <c r="Q6" s="417"/>
    </row>
    <row r="7" spans="1:17" ht="15">
      <c r="A7" s="10"/>
      <c r="B7" s="439"/>
      <c r="C7" s="508">
        <f>'08'!C7</f>
        <v>0</v>
      </c>
      <c r="D7" s="445">
        <f>'08'!D7</f>
        <v>0</v>
      </c>
      <c r="E7" s="448">
        <f>'08'!E7</f>
        <v>0</v>
      </c>
      <c r="F7" s="448">
        <f>'08'!F7</f>
        <v>0</v>
      </c>
      <c r="G7" s="414">
        <f>'08'!G7</f>
        <v>0</v>
      </c>
      <c r="H7" s="419">
        <f>'08'!H7</f>
        <v>0</v>
      </c>
      <c r="I7" s="523">
        <f>'08'!I7</f>
        <v>0</v>
      </c>
      <c r="J7" s="524">
        <f>'08'!J7</f>
        <v>0</v>
      </c>
      <c r="K7" s="10"/>
      <c r="L7" s="36" t="str">
        <f>'08'!L7</f>
        <v>Lernende / r</v>
      </c>
      <c r="M7" s="417">
        <f>TRIM(DB_Apprenti)</f>
      </c>
      <c r="N7" s="417"/>
      <c r="O7" s="417"/>
      <c r="P7" s="417"/>
      <c r="Q7" s="417"/>
    </row>
    <row r="8" spans="2:17" ht="15.75" thickBot="1">
      <c r="B8" s="440"/>
      <c r="C8" s="509">
        <f>'08'!C8</f>
        <v>0</v>
      </c>
      <c r="D8" s="446">
        <f>'08'!D8</f>
        <v>0</v>
      </c>
      <c r="E8" s="449">
        <f>'08'!E8</f>
        <v>0</v>
      </c>
      <c r="F8" s="449">
        <f>'08'!F8</f>
        <v>0</v>
      </c>
      <c r="G8" s="415">
        <f>'08'!G8</f>
        <v>0</v>
      </c>
      <c r="H8" s="420">
        <f>'08'!H8</f>
        <v>0</v>
      </c>
      <c r="I8" s="423">
        <f>'08'!I8</f>
        <v>0</v>
      </c>
      <c r="J8" s="525">
        <f>'08'!J8</f>
        <v>0</v>
      </c>
      <c r="L8" s="36" t="str">
        <f>'08'!L8</f>
        <v>AHV-Nummer</v>
      </c>
      <c r="M8" s="417">
        <f>TRIM(DB_AVS)</f>
      </c>
      <c r="N8" s="417"/>
      <c r="P8" s="3" t="str">
        <f>'08'!P8</f>
        <v>Geburtsdatum</v>
      </c>
      <c r="Q8" s="42">
        <f>IF(DB_DateNaissance=0,"",DB_DateNaissance)</f>
      </c>
    </row>
    <row r="9" spans="2:11" ht="15">
      <c r="B9" s="87">
        <f>B3</f>
        <v>43891</v>
      </c>
      <c r="C9" s="154"/>
      <c r="D9" s="359"/>
      <c r="E9" s="268"/>
      <c r="F9" s="268"/>
      <c r="G9" s="269"/>
      <c r="H9" s="12">
        <f aca="true" t="shared" si="0" ref="H9:H39">MAX(IF(C9="a",PN_Travail,IF(C9="b",PN_CoursProf,IF(C9="c",PN_CoursIE,IF(C9="d",PN_Conge,0)))),IF(C9="e",PN_Vacances,IF(C9="f",PN_DemiJour,IF(C9="g",PN_Accident,IF(C9="h",PN_Maladie,IF(C9="i",PN_Armee,0))))))</f>
        <v>0</v>
      </c>
      <c r="I9" s="13">
        <f aca="true" t="shared" si="1" ref="I9:I39">H9+D9*PN_Logis_Plus+E9*PN_Dejeuner_Plus+F9*PN_Diner_Plus+G9*PN_Souper_Plus</f>
        <v>0</v>
      </c>
      <c r="J9" s="161"/>
      <c r="K9" s="14"/>
    </row>
    <row r="10" spans="2:10" ht="15">
      <c r="B10" s="15">
        <f>B9+1</f>
        <v>43892</v>
      </c>
      <c r="C10" s="154"/>
      <c r="D10" s="359"/>
      <c r="E10" s="268"/>
      <c r="F10" s="268"/>
      <c r="G10" s="269"/>
      <c r="H10" s="12">
        <f t="shared" si="0"/>
        <v>0</v>
      </c>
      <c r="I10" s="13">
        <f t="shared" si="1"/>
        <v>0</v>
      </c>
      <c r="J10" s="190"/>
    </row>
    <row r="11" spans="1:17" ht="15">
      <c r="A11" s="163">
        <v>230</v>
      </c>
      <c r="B11" s="15">
        <f aca="true" t="shared" si="2" ref="B11:B39">B10+1</f>
        <v>43893</v>
      </c>
      <c r="C11" s="154"/>
      <c r="D11" s="359"/>
      <c r="E11" s="268"/>
      <c r="F11" s="268"/>
      <c r="G11" s="269"/>
      <c r="H11" s="12">
        <f t="shared" si="0"/>
        <v>0</v>
      </c>
      <c r="I11" s="13">
        <f t="shared" si="1"/>
        <v>0</v>
      </c>
      <c r="J11" s="190"/>
      <c r="L11" s="39" t="str">
        <f>'08'!L11</f>
        <v>Bruttolohn  </v>
      </c>
      <c r="M11" s="34" t="e">
        <f>IF(PN_EffMoy=0,SUBSTITUTE(VLOOKUP(A11+1,Tb_Traduction,DB_Langue,FALSE),"***",TEXT(J40,"0.00")),"")</f>
        <v>#N/A</v>
      </c>
      <c r="N11" s="34"/>
      <c r="O11" s="38"/>
      <c r="P11" s="45"/>
      <c r="Q11" s="49" t="e">
        <f>IF(OR(PN_EffMoy=0,Nb_Mois&lt;&gt;12),Sa_BaseMensuelArrondi/H42*C40,Sa_BaseMensuelArrondi)</f>
        <v>#N/A</v>
      </c>
    </row>
    <row r="12" spans="2:17" ht="15">
      <c r="B12" s="15">
        <f t="shared" si="2"/>
        <v>43894</v>
      </c>
      <c r="C12" s="154"/>
      <c r="D12" s="359"/>
      <c r="E12" s="268"/>
      <c r="F12" s="268"/>
      <c r="G12" s="269"/>
      <c r="H12" s="12">
        <f t="shared" si="0"/>
        <v>0</v>
      </c>
      <c r="I12" s="13">
        <f t="shared" si="1"/>
        <v>0</v>
      </c>
      <c r="J12" s="190"/>
      <c r="L12" s="9" t="str">
        <f>'08'!L12</f>
        <v>Prämie, Bonus, Gratifikation</v>
      </c>
      <c r="Q12" s="155"/>
    </row>
    <row r="13" spans="2:17" ht="15">
      <c r="B13" s="15">
        <f t="shared" si="2"/>
        <v>43895</v>
      </c>
      <c r="C13" s="154"/>
      <c r="D13" s="359"/>
      <c r="E13" s="268"/>
      <c r="F13" s="268"/>
      <c r="G13" s="269"/>
      <c r="H13" s="12">
        <f t="shared" si="0"/>
        <v>0</v>
      </c>
      <c r="I13" s="13">
        <f t="shared" si="1"/>
        <v>0</v>
      </c>
      <c r="J13" s="190"/>
      <c r="L13" s="88" t="str">
        <f>'08'!L13</f>
        <v>Bruttolohn total</v>
      </c>
      <c r="Q13" s="89" t="e">
        <f>SUM(Q11:Q12)</f>
        <v>#N/A</v>
      </c>
    </row>
    <row r="14" spans="2:10" ht="15">
      <c r="B14" s="15">
        <f t="shared" si="2"/>
        <v>43896</v>
      </c>
      <c r="C14" s="154"/>
      <c r="D14" s="359"/>
      <c r="E14" s="268"/>
      <c r="F14" s="268"/>
      <c r="G14" s="269"/>
      <c r="H14" s="12">
        <f t="shared" si="0"/>
        <v>0</v>
      </c>
      <c r="I14" s="13">
        <f t="shared" si="1"/>
        <v>0</v>
      </c>
      <c r="J14" s="190"/>
    </row>
    <row r="15" spans="2:17" ht="15">
      <c r="B15" s="15">
        <f t="shared" si="2"/>
        <v>43897</v>
      </c>
      <c r="C15" s="154"/>
      <c r="D15" s="359"/>
      <c r="E15" s="268"/>
      <c r="F15" s="268"/>
      <c r="G15" s="269"/>
      <c r="H15" s="12">
        <f t="shared" si="0"/>
        <v>0</v>
      </c>
      <c r="I15" s="13">
        <f t="shared" si="1"/>
        <v>0</v>
      </c>
      <c r="J15" s="190"/>
      <c r="L15" s="39" t="str">
        <f>'08'!L15</f>
        <v>Abzüge</v>
      </c>
      <c r="M15" s="11" t="str">
        <f>'08'!M15</f>
        <v>Anteil</v>
      </c>
      <c r="N15" s="11" t="s">
        <v>37</v>
      </c>
      <c r="O15" s="38"/>
      <c r="P15" s="45"/>
      <c r="Q15" s="46"/>
    </row>
    <row r="16" spans="2:17" ht="15">
      <c r="B16" s="15">
        <f t="shared" si="2"/>
        <v>43898</v>
      </c>
      <c r="C16" s="154"/>
      <c r="D16" s="359"/>
      <c r="E16" s="268"/>
      <c r="F16" s="268"/>
      <c r="G16" s="269"/>
      <c r="H16" s="12">
        <f t="shared" si="0"/>
        <v>0</v>
      </c>
      <c r="I16" s="13">
        <f t="shared" si="1"/>
        <v>0</v>
      </c>
      <c r="J16" s="190"/>
      <c r="L16" s="48" t="str">
        <f>'08'!L16</f>
        <v>Beiträge AHV, IV, EO*:</v>
      </c>
      <c r="M16" s="43" t="s">
        <v>50</v>
      </c>
      <c r="N16" s="44">
        <f>IF(B3&gt;=DB_SoumisAVS,RS_AVS_Plus,0)</f>
        <v>0.05125</v>
      </c>
      <c r="O16" s="38"/>
      <c r="P16" s="50" t="e">
        <f>$Q$13*N16</f>
        <v>#N/A</v>
      </c>
      <c r="Q16" s="46"/>
    </row>
    <row r="17" spans="2:17" ht="15">
      <c r="B17" s="15">
        <f t="shared" si="2"/>
        <v>43899</v>
      </c>
      <c r="C17" s="154"/>
      <c r="D17" s="359"/>
      <c r="E17" s="268"/>
      <c r="F17" s="268"/>
      <c r="G17" s="269"/>
      <c r="H17" s="12">
        <f t="shared" si="0"/>
        <v>0</v>
      </c>
      <c r="I17" s="13">
        <f t="shared" si="1"/>
        <v>0</v>
      </c>
      <c r="J17" s="190"/>
      <c r="L17" s="48" t="str">
        <f>'08'!L17</f>
        <v>Beiträge ALV*:</v>
      </c>
      <c r="M17" s="43" t="s">
        <v>50</v>
      </c>
      <c r="N17" s="44">
        <f>IF(B3&gt;=DB_SoumisAVS,RS_AC_Plus,0)</f>
        <v>0.011</v>
      </c>
      <c r="O17" s="38"/>
      <c r="P17" s="50" t="e">
        <f>$Q$13*N17</f>
        <v>#N/A</v>
      </c>
      <c r="Q17" s="46"/>
    </row>
    <row r="18" spans="2:17" ht="15">
      <c r="B18" s="15">
        <f t="shared" si="2"/>
        <v>43900</v>
      </c>
      <c r="C18" s="154"/>
      <c r="D18" s="359"/>
      <c r="E18" s="268"/>
      <c r="F18" s="268"/>
      <c r="G18" s="269"/>
      <c r="H18" s="12">
        <f t="shared" si="0"/>
        <v>0</v>
      </c>
      <c r="I18" s="13">
        <f t="shared" si="1"/>
        <v>0</v>
      </c>
      <c r="J18" s="190"/>
      <c r="L18" s="48" t="str">
        <f>'08'!L18</f>
        <v>Nichtbetriebsunfall:</v>
      </c>
      <c r="M18" s="43" t="s">
        <v>244</v>
      </c>
      <c r="N18" s="44">
        <f>RS_ANP_Plus</f>
        <v>0.01641</v>
      </c>
      <c r="O18" s="38"/>
      <c r="P18" s="51" t="e">
        <f>$Q$13*N18</f>
        <v>#N/A</v>
      </c>
      <c r="Q18" s="46"/>
    </row>
    <row r="19" spans="2:17" ht="15">
      <c r="B19" s="15">
        <f t="shared" si="2"/>
        <v>43901</v>
      </c>
      <c r="C19" s="154"/>
      <c r="D19" s="359"/>
      <c r="E19" s="268"/>
      <c r="F19" s="268"/>
      <c r="G19" s="269"/>
      <c r="H19" s="12">
        <f t="shared" si="0"/>
        <v>0</v>
      </c>
      <c r="I19" s="13">
        <f t="shared" si="1"/>
        <v>0</v>
      </c>
      <c r="J19" s="190"/>
      <c r="L19" s="48" t="str">
        <f>'08'!L19</f>
        <v>Krankentaggeld:</v>
      </c>
      <c r="M19" s="43" t="s">
        <v>50</v>
      </c>
      <c r="N19" s="44">
        <f>RS_MC_Plus</f>
        <v>0.0044</v>
      </c>
      <c r="O19" s="38"/>
      <c r="P19" s="50" t="e">
        <f>$Q$13*N19</f>
        <v>#N/A</v>
      </c>
      <c r="Q19" s="46"/>
    </row>
    <row r="20" spans="2:16" ht="15">
      <c r="B20" s="15">
        <f t="shared" si="2"/>
        <v>43902</v>
      </c>
      <c r="C20" s="154"/>
      <c r="D20" s="359"/>
      <c r="E20" s="268"/>
      <c r="F20" s="268"/>
      <c r="G20" s="269"/>
      <c r="H20" s="12">
        <f t="shared" si="0"/>
        <v>0</v>
      </c>
      <c r="I20" s="13">
        <f t="shared" si="1"/>
        <v>0</v>
      </c>
      <c r="J20" s="190"/>
      <c r="L20" s="48" t="str">
        <f>'08'!L20</f>
        <v>Anderer Abzug:</v>
      </c>
      <c r="M20" s="511"/>
      <c r="N20" s="511"/>
      <c r="O20" s="38"/>
      <c r="P20" s="160"/>
    </row>
    <row r="21" spans="2:16" ht="15">
      <c r="B21" s="15">
        <f t="shared" si="2"/>
        <v>43903</v>
      </c>
      <c r="C21" s="154"/>
      <c r="D21" s="359"/>
      <c r="E21" s="268"/>
      <c r="F21" s="268"/>
      <c r="G21" s="269"/>
      <c r="H21" s="12">
        <f t="shared" si="0"/>
        <v>0</v>
      </c>
      <c r="I21" s="13">
        <f t="shared" si="1"/>
        <v>0</v>
      </c>
      <c r="J21" s="190"/>
      <c r="L21" s="38" t="e">
        <f>'08'!L21</f>
        <v>#N/A</v>
      </c>
      <c r="M21" s="34"/>
      <c r="N21" s="34"/>
      <c r="O21" s="38"/>
      <c r="P21" s="50" t="e">
        <f>IF(PN_EffMoy=0,I40,IF(Nb_Mois=12,Sa_NatureMensuelArrondi,Sa_NatureMensuelArrondi*C40/H42))</f>
        <v>#N/A</v>
      </c>
    </row>
    <row r="22" spans="2:16" ht="15">
      <c r="B22" s="15">
        <f t="shared" si="2"/>
        <v>43904</v>
      </c>
      <c r="C22" s="154"/>
      <c r="D22" s="359"/>
      <c r="E22" s="268"/>
      <c r="F22" s="268"/>
      <c r="G22" s="269"/>
      <c r="H22" s="12">
        <f t="shared" si="0"/>
        <v>0</v>
      </c>
      <c r="I22" s="13">
        <f t="shared" si="1"/>
        <v>0</v>
      </c>
      <c r="J22" s="190"/>
      <c r="L22" s="41" t="str">
        <f>'08'!L22</f>
        <v>*) sofern pflichtig</v>
      </c>
      <c r="P22" s="47"/>
    </row>
    <row r="23" spans="2:17" ht="15">
      <c r="B23" s="15">
        <f t="shared" si="2"/>
        <v>43905</v>
      </c>
      <c r="C23" s="154"/>
      <c r="D23" s="359"/>
      <c r="E23" s="268"/>
      <c r="F23" s="268"/>
      <c r="G23" s="269"/>
      <c r="H23" s="12">
        <f t="shared" si="0"/>
        <v>0</v>
      </c>
      <c r="I23" s="13">
        <f t="shared" si="1"/>
        <v>0</v>
      </c>
      <c r="J23" s="190"/>
      <c r="Q23" s="46"/>
    </row>
    <row r="24" spans="2:17" ht="15">
      <c r="B24" s="15">
        <f t="shared" si="2"/>
        <v>43906</v>
      </c>
      <c r="C24" s="154"/>
      <c r="D24" s="359"/>
      <c r="E24" s="268"/>
      <c r="F24" s="268"/>
      <c r="G24" s="269"/>
      <c r="H24" s="12">
        <f t="shared" si="0"/>
        <v>0</v>
      </c>
      <c r="I24" s="13">
        <f t="shared" si="1"/>
        <v>0</v>
      </c>
      <c r="J24" s="190"/>
      <c r="L24" s="39" t="str">
        <f>'08'!L24</f>
        <v>Total Abzüge</v>
      </c>
      <c r="Q24" s="49" t="e">
        <f>INT((SUM(P16:P21)*20)+0.5)/20</f>
        <v>#N/A</v>
      </c>
    </row>
    <row r="25" spans="2:17" ht="15">
      <c r="B25" s="15">
        <f t="shared" si="2"/>
        <v>43907</v>
      </c>
      <c r="C25" s="154"/>
      <c r="D25" s="359"/>
      <c r="E25" s="268"/>
      <c r="F25" s="268"/>
      <c r="G25" s="269"/>
      <c r="H25" s="12">
        <f t="shared" si="0"/>
        <v>0</v>
      </c>
      <c r="I25" s="13">
        <f t="shared" si="1"/>
        <v>0</v>
      </c>
      <c r="J25" s="190"/>
      <c r="Q25" s="47"/>
    </row>
    <row r="26" spans="2:17" ht="15">
      <c r="B26" s="15">
        <f t="shared" si="2"/>
        <v>43908</v>
      </c>
      <c r="C26" s="154"/>
      <c r="D26" s="359"/>
      <c r="E26" s="268"/>
      <c r="F26" s="268"/>
      <c r="G26" s="269"/>
      <c r="H26" s="12">
        <f t="shared" si="0"/>
        <v>0</v>
      </c>
      <c r="I26" s="13">
        <f t="shared" si="1"/>
        <v>0</v>
      </c>
      <c r="J26" s="190"/>
      <c r="L26" s="39" t="str">
        <f>'08'!L26</f>
        <v>Rückvergügungen</v>
      </c>
      <c r="M26" s="34"/>
      <c r="N26" s="34"/>
      <c r="O26" s="38"/>
      <c r="P26" s="45"/>
      <c r="Q26" s="46"/>
    </row>
    <row r="27" spans="2:17" ht="15">
      <c r="B27" s="15">
        <f t="shared" si="2"/>
        <v>43909</v>
      </c>
      <c r="C27" s="154"/>
      <c r="D27" s="359"/>
      <c r="E27" s="268"/>
      <c r="F27" s="268"/>
      <c r="G27" s="269"/>
      <c r="H27" s="12">
        <f t="shared" si="0"/>
        <v>0</v>
      </c>
      <c r="I27" s="13">
        <f t="shared" si="1"/>
        <v>0</v>
      </c>
      <c r="J27" s="190"/>
      <c r="L27" s="38" t="str">
        <f>'08'!L27</f>
        <v>Kostenbeteiligungen</v>
      </c>
      <c r="M27" s="511"/>
      <c r="N27" s="511"/>
      <c r="O27" s="38"/>
      <c r="P27" s="159"/>
      <c r="Q27" s="46"/>
    </row>
    <row r="28" spans="2:17" ht="15">
      <c r="B28" s="15">
        <f t="shared" si="2"/>
        <v>43910</v>
      </c>
      <c r="C28" s="154"/>
      <c r="D28" s="359"/>
      <c r="E28" s="268"/>
      <c r="F28" s="268"/>
      <c r="G28" s="269"/>
      <c r="H28" s="12">
        <f t="shared" si="0"/>
        <v>0</v>
      </c>
      <c r="I28" s="13">
        <f t="shared" si="1"/>
        <v>0</v>
      </c>
      <c r="J28" s="190"/>
      <c r="L28" s="38" t="str">
        <f>'08'!L28</f>
        <v>Übrige Rückvergütungen</v>
      </c>
      <c r="M28" s="512"/>
      <c r="N28" s="512"/>
      <c r="O28" s="38"/>
      <c r="P28" s="160"/>
      <c r="Q28" s="46"/>
    </row>
    <row r="29" spans="2:10" ht="15">
      <c r="B29" s="15">
        <f t="shared" si="2"/>
        <v>43911</v>
      </c>
      <c r="C29" s="154"/>
      <c r="D29" s="359"/>
      <c r="E29" s="268"/>
      <c r="F29" s="268"/>
      <c r="G29" s="269"/>
      <c r="H29" s="12">
        <f t="shared" si="0"/>
        <v>0</v>
      </c>
      <c r="I29" s="13">
        <f t="shared" si="1"/>
        <v>0</v>
      </c>
      <c r="J29" s="190"/>
    </row>
    <row r="30" spans="2:17" ht="15">
      <c r="B30" s="15">
        <f t="shared" si="2"/>
        <v>43912</v>
      </c>
      <c r="C30" s="154"/>
      <c r="D30" s="359"/>
      <c r="E30" s="268"/>
      <c r="F30" s="268"/>
      <c r="G30" s="269"/>
      <c r="H30" s="12">
        <f t="shared" si="0"/>
        <v>0</v>
      </c>
      <c r="I30" s="13">
        <f t="shared" si="1"/>
        <v>0</v>
      </c>
      <c r="J30" s="190"/>
      <c r="L30" s="39" t="str">
        <f>'08'!L30</f>
        <v>Zuschläge</v>
      </c>
      <c r="M30" s="34"/>
      <c r="N30" s="34"/>
      <c r="O30" s="38"/>
      <c r="P30" s="45"/>
      <c r="Q30" s="52">
        <f>SUM(P27:P28)</f>
        <v>0</v>
      </c>
    </row>
    <row r="31" spans="2:17" ht="15">
      <c r="B31" s="15">
        <f t="shared" si="2"/>
        <v>43913</v>
      </c>
      <c r="C31" s="154"/>
      <c r="D31" s="359"/>
      <c r="E31" s="268"/>
      <c r="F31" s="268"/>
      <c r="G31" s="269"/>
      <c r="H31" s="12">
        <f t="shared" si="0"/>
        <v>0</v>
      </c>
      <c r="I31" s="13">
        <f t="shared" si="1"/>
        <v>0</v>
      </c>
      <c r="J31" s="190"/>
      <c r="L31" s="34"/>
      <c r="M31" s="34"/>
      <c r="N31" s="34"/>
      <c r="O31" s="38"/>
      <c r="P31" s="45"/>
      <c r="Q31" s="46"/>
    </row>
    <row r="32" spans="2:17" ht="15">
      <c r="B32" s="15">
        <f t="shared" si="2"/>
        <v>43914</v>
      </c>
      <c r="C32" s="154"/>
      <c r="D32" s="359"/>
      <c r="E32" s="268"/>
      <c r="F32" s="268"/>
      <c r="G32" s="269"/>
      <c r="H32" s="12">
        <f t="shared" si="0"/>
        <v>0</v>
      </c>
      <c r="I32" s="13">
        <f t="shared" si="1"/>
        <v>0</v>
      </c>
      <c r="J32" s="190"/>
      <c r="L32" s="39" t="str">
        <f>'08'!L32</f>
        <v>Netto-Auszahlung</v>
      </c>
      <c r="M32" s="34"/>
      <c r="N32" s="34"/>
      <c r="O32" s="38"/>
      <c r="P32" s="45"/>
      <c r="Q32" s="53" t="e">
        <f>Q13+Q30-Q24</f>
        <v>#N/A</v>
      </c>
    </row>
    <row r="33" spans="2:17" ht="15">
      <c r="B33" s="15">
        <f t="shared" si="2"/>
        <v>43915</v>
      </c>
      <c r="C33" s="154"/>
      <c r="D33" s="359"/>
      <c r="E33" s="268"/>
      <c r="F33" s="268"/>
      <c r="G33" s="269"/>
      <c r="H33" s="12">
        <f t="shared" si="0"/>
        <v>0</v>
      </c>
      <c r="I33" s="13">
        <f t="shared" si="1"/>
        <v>0</v>
      </c>
      <c r="J33" s="190"/>
      <c r="L33" s="34"/>
      <c r="M33" s="386" t="str">
        <f>'08'!M33</f>
        <v>aktueller
Monat</v>
      </c>
      <c r="N33" s="386" t="str">
        <f>'08'!N33</f>
        <v>Summe der
Vormonate</v>
      </c>
      <c r="O33" s="386" t="str">
        <f>'08'!O33</f>
        <v>Jahresvor-
anschlag:</v>
      </c>
      <c r="P33" s="510"/>
      <c r="Q33" s="386" t="str">
        <f>'08'!Q33</f>
        <v>Aktueller
Saldo</v>
      </c>
    </row>
    <row r="34" spans="2:17" ht="15">
      <c r="B34" s="15">
        <f t="shared" si="2"/>
        <v>43916</v>
      </c>
      <c r="C34" s="154"/>
      <c r="D34" s="359"/>
      <c r="E34" s="268"/>
      <c r="F34" s="268"/>
      <c r="G34" s="269"/>
      <c r="H34" s="12">
        <f t="shared" si="0"/>
        <v>0</v>
      </c>
      <c r="I34" s="13">
        <f t="shared" si="1"/>
        <v>0</v>
      </c>
      <c r="J34" s="190"/>
      <c r="L34" s="56" t="str">
        <f>'08'!L34</f>
        <v>Tagesabrechnung</v>
      </c>
      <c r="M34" s="387">
        <f>'08'!M34</f>
        <v>0</v>
      </c>
      <c r="N34" s="387">
        <f>'08'!N34</f>
        <v>0</v>
      </c>
      <c r="O34" s="387">
        <f>'08'!O34</f>
        <v>0</v>
      </c>
      <c r="P34" s="510"/>
      <c r="Q34" s="387">
        <f>'08'!Q34</f>
        <v>0</v>
      </c>
    </row>
    <row r="35" spans="2:17" ht="15">
      <c r="B35" s="15">
        <f t="shared" si="2"/>
        <v>43917</v>
      </c>
      <c r="C35" s="154"/>
      <c r="D35" s="359"/>
      <c r="E35" s="268"/>
      <c r="F35" s="268"/>
      <c r="G35" s="269"/>
      <c r="H35" s="12">
        <f t="shared" si="0"/>
        <v>0</v>
      </c>
      <c r="I35" s="13">
        <f t="shared" si="1"/>
        <v>0</v>
      </c>
      <c r="J35" s="190"/>
      <c r="L35" s="287" t="str">
        <f>'08'!L35</f>
        <v>Arbeit:</v>
      </c>
      <c r="M35" s="262">
        <f aca="true" t="shared" si="3" ref="M35:N38">H43</f>
        <v>0</v>
      </c>
      <c r="N35" s="262">
        <f t="shared" si="3"/>
        <v>0</v>
      </c>
      <c r="O35" s="262" t="e">
        <f>NJ_Travail</f>
        <v>#N/A</v>
      </c>
      <c r="Q35" s="263" t="e">
        <f aca="true" t="shared" si="4" ref="Q35:Q42">O35-N35-M35</f>
        <v>#N/A</v>
      </c>
    </row>
    <row r="36" spans="2:17" ht="15">
      <c r="B36" s="15">
        <f t="shared" si="2"/>
        <v>43918</v>
      </c>
      <c r="C36" s="154"/>
      <c r="D36" s="359"/>
      <c r="E36" s="268"/>
      <c r="F36" s="268"/>
      <c r="G36" s="269"/>
      <c r="H36" s="12">
        <f t="shared" si="0"/>
        <v>0</v>
      </c>
      <c r="I36" s="13">
        <f t="shared" si="1"/>
        <v>0</v>
      </c>
      <c r="J36" s="190"/>
      <c r="L36" s="287" t="str">
        <f>'08'!L36</f>
        <v>Schultage:</v>
      </c>
      <c r="M36" s="178">
        <f t="shared" si="3"/>
        <v>0</v>
      </c>
      <c r="N36" s="178">
        <f t="shared" si="3"/>
        <v>0</v>
      </c>
      <c r="O36" s="178" t="e">
        <f>NJ_CoursProf</f>
        <v>#N/A</v>
      </c>
      <c r="Q36" s="179" t="e">
        <f t="shared" si="4"/>
        <v>#N/A</v>
      </c>
    </row>
    <row r="37" spans="2:17" ht="15">
      <c r="B37" s="15">
        <f t="shared" si="2"/>
        <v>43919</v>
      </c>
      <c r="C37" s="154"/>
      <c r="D37" s="359"/>
      <c r="E37" s="268"/>
      <c r="F37" s="268"/>
      <c r="G37" s="269"/>
      <c r="H37" s="12">
        <f t="shared" si="0"/>
        <v>0</v>
      </c>
      <c r="I37" s="13">
        <f t="shared" si="1"/>
        <v>0</v>
      </c>
      <c r="J37" s="190"/>
      <c r="L37" s="287" t="str">
        <f>'08'!L37</f>
        <v>üK:</v>
      </c>
      <c r="M37" s="178">
        <f t="shared" si="3"/>
        <v>0</v>
      </c>
      <c r="N37" s="178">
        <f t="shared" si="3"/>
        <v>0</v>
      </c>
      <c r="O37" s="178" t="e">
        <f>NJ_CoursIE</f>
        <v>#N/A</v>
      </c>
      <c r="Q37" s="179" t="e">
        <f t="shared" si="4"/>
        <v>#N/A</v>
      </c>
    </row>
    <row r="38" spans="2:17" ht="15">
      <c r="B38" s="15">
        <f t="shared" si="2"/>
        <v>43920</v>
      </c>
      <c r="C38" s="154"/>
      <c r="D38" s="359"/>
      <c r="E38" s="268"/>
      <c r="F38" s="268"/>
      <c r="G38" s="269"/>
      <c r="H38" s="12">
        <f t="shared" si="0"/>
        <v>0</v>
      </c>
      <c r="I38" s="13">
        <f t="shared" si="1"/>
        <v>0</v>
      </c>
      <c r="J38" s="190"/>
      <c r="L38" s="287" t="str">
        <f>'08'!L38</f>
        <v>Militär:</v>
      </c>
      <c r="M38" s="178">
        <f t="shared" si="3"/>
        <v>0</v>
      </c>
      <c r="N38" s="178">
        <f t="shared" si="3"/>
        <v>0</v>
      </c>
      <c r="O38" s="178">
        <f>NJ_Bloc</f>
        <v>0</v>
      </c>
      <c r="Q38" s="179">
        <f t="shared" si="4"/>
        <v>0</v>
      </c>
    </row>
    <row r="39" spans="2:17" ht="15.75" thickBot="1">
      <c r="B39" s="58">
        <f t="shared" si="2"/>
        <v>43921</v>
      </c>
      <c r="C39" s="154"/>
      <c r="D39" s="359"/>
      <c r="E39" s="268"/>
      <c r="F39" s="268"/>
      <c r="G39" s="269"/>
      <c r="H39" s="12">
        <f t="shared" si="0"/>
        <v>0</v>
      </c>
      <c r="I39" s="13">
        <f t="shared" si="1"/>
        <v>0</v>
      </c>
      <c r="J39" s="191"/>
      <c r="L39" s="287" t="str">
        <f>'08'!L39</f>
        <v>Frei:</v>
      </c>
      <c r="M39" s="262">
        <f aca="true" t="shared" si="5" ref="M39:N42">H47</f>
        <v>0</v>
      </c>
      <c r="N39" s="262">
        <f t="shared" si="5"/>
        <v>0</v>
      </c>
      <c r="O39" s="262" t="e">
        <f>NJ_Conge</f>
        <v>#N/A</v>
      </c>
      <c r="Q39" s="263" t="e">
        <f t="shared" si="4"/>
        <v>#N/A</v>
      </c>
    </row>
    <row r="40" spans="2:17" ht="15.75" thickBot="1">
      <c r="B40" s="335" t="str">
        <f>'08'!B40</f>
        <v>Total</v>
      </c>
      <c r="C40" s="336">
        <f>COUNTIF(C9:C39,"a")+COUNTIF(C9:C39,"b")+COUNTIF(C9:C39,"c")+COUNTIF(C9:C39,"d")+COUNTIF(C9:C39,"e")+COUNTIF(C9:C39,"f")+COUNTIF(C9:C39,"g")+COUNTIF(C9:C39,"h")+COUNTIF(C9:C39,"i")</f>
        <v>0</v>
      </c>
      <c r="D40" s="17">
        <f aca="true" t="shared" si="6" ref="D40:I40">SUM(D9:D39)</f>
        <v>0</v>
      </c>
      <c r="E40" s="18">
        <f t="shared" si="6"/>
        <v>0</v>
      </c>
      <c r="F40" s="18">
        <f t="shared" si="6"/>
        <v>0</v>
      </c>
      <c r="G40" s="19">
        <f t="shared" si="6"/>
        <v>0</v>
      </c>
      <c r="H40" s="20">
        <f t="shared" si="6"/>
        <v>0</v>
      </c>
      <c r="I40" s="21">
        <f t="shared" si="6"/>
        <v>0</v>
      </c>
      <c r="J40" s="337" t="e">
        <f>INT(((Sa_NatureMensuel/H42*C40)*20)+0.5)/20</f>
        <v>#N/A</v>
      </c>
      <c r="L40" s="288" t="str">
        <f>'08'!L40</f>
        <v>Ferien:</v>
      </c>
      <c r="M40" s="289">
        <f t="shared" si="5"/>
        <v>0</v>
      </c>
      <c r="N40" s="289">
        <f t="shared" si="5"/>
        <v>0</v>
      </c>
      <c r="O40" s="289" t="e">
        <f>NJ_Vacances</f>
        <v>#N/A</v>
      </c>
      <c r="Q40" s="290" t="e">
        <f t="shared" si="4"/>
        <v>#N/A</v>
      </c>
    </row>
    <row r="41" spans="2:17" ht="15.75" thickBot="1">
      <c r="B41" s="452"/>
      <c r="C41" s="453"/>
      <c r="D41" s="453"/>
      <c r="E41" s="453"/>
      <c r="F41" s="453"/>
      <c r="G41" s="506"/>
      <c r="H41" s="286">
        <f>B3</f>
        <v>43891</v>
      </c>
      <c r="I41" s="22" t="str">
        <f>'08'!I41</f>
        <v>Total</v>
      </c>
      <c r="J41" s="23"/>
      <c r="L41" s="288" t="str">
        <f>'08'!L41</f>
        <v>Unfall:</v>
      </c>
      <c r="M41" s="289">
        <f t="shared" si="5"/>
        <v>0</v>
      </c>
      <c r="N41" s="289">
        <f t="shared" si="5"/>
        <v>0</v>
      </c>
      <c r="O41" s="289">
        <v>0</v>
      </c>
      <c r="Q41" s="290">
        <f t="shared" si="4"/>
        <v>0</v>
      </c>
    </row>
    <row r="42" spans="2:17" ht="15">
      <c r="B42" s="408" t="str">
        <f>'08'!B42</f>
        <v>Tagesabrechnung</v>
      </c>
      <c r="C42" s="409" t="e">
        <f>'08'!C42</f>
        <v>#N/A</v>
      </c>
      <c r="D42" s="409" t="e">
        <f>'08'!D42</f>
        <v>#REF!</v>
      </c>
      <c r="E42" s="409" t="e">
        <f>'08'!E42</f>
        <v>#REF!</v>
      </c>
      <c r="F42" s="409" t="e">
        <f>'08'!F42</f>
        <v>#REF!</v>
      </c>
      <c r="G42" s="410" t="e">
        <f>'08'!G42</f>
        <v>#REF!</v>
      </c>
      <c r="H42" s="24">
        <v>31</v>
      </c>
      <c r="I42" s="25">
        <f>SUM('02'!H42:I42)</f>
        <v>213</v>
      </c>
      <c r="J42" s="26"/>
      <c r="L42" s="287" t="str">
        <f>'08'!L42</f>
        <v>Krankheit:</v>
      </c>
      <c r="M42" s="178">
        <f t="shared" si="5"/>
        <v>0</v>
      </c>
      <c r="N42" s="178">
        <f t="shared" si="5"/>
        <v>0</v>
      </c>
      <c r="O42" s="178">
        <v>0</v>
      </c>
      <c r="Q42" s="179">
        <f t="shared" si="4"/>
        <v>0</v>
      </c>
    </row>
    <row r="43" spans="2:10" ht="15">
      <c r="B43" s="402" t="str">
        <f>'08'!B43</f>
        <v>Arbeitstage ( a )</v>
      </c>
      <c r="C43" s="403" t="e">
        <f>'08'!C43</f>
        <v>#N/A</v>
      </c>
      <c r="D43" s="403" t="e">
        <f>'08'!D43</f>
        <v>#REF!</v>
      </c>
      <c r="E43" s="403" t="e">
        <f>'08'!E43</f>
        <v>#REF!</v>
      </c>
      <c r="F43" s="403" t="e">
        <f>'08'!F43</f>
        <v>#REF!</v>
      </c>
      <c r="G43" s="404" t="e">
        <f>'08'!G43</f>
        <v>#REF!</v>
      </c>
      <c r="H43" s="27">
        <f>COUNTIF(C9:C39,"a")+COUNTIF(C9:C39,"f")/2</f>
        <v>0</v>
      </c>
      <c r="I43" s="28">
        <f>SUM('02'!H43:I43)</f>
        <v>0</v>
      </c>
      <c r="J43" s="29"/>
    </row>
    <row r="44" spans="2:17" ht="15">
      <c r="B44" s="402" t="str">
        <f>'08'!B44</f>
        <v>Schultage ( b )</v>
      </c>
      <c r="C44" s="403" t="e">
        <f>'08'!C44</f>
        <v>#N/A</v>
      </c>
      <c r="D44" s="403" t="e">
        <f>'08'!D44</f>
        <v>#REF!</v>
      </c>
      <c r="E44" s="403" t="e">
        <f>'08'!E44</f>
        <v>#REF!</v>
      </c>
      <c r="F44" s="403" t="e">
        <f>'08'!F44</f>
        <v>#REF!</v>
      </c>
      <c r="G44" s="404" t="e">
        <f>'08'!G44</f>
        <v>#REF!</v>
      </c>
      <c r="H44" s="27">
        <f>COUNTIF(C9:C39,"b")</f>
        <v>0</v>
      </c>
      <c r="I44" s="28">
        <f>SUM('02'!H44:I44)</f>
        <v>0</v>
      </c>
      <c r="J44" s="29"/>
      <c r="L44" s="38" t="str">
        <f>'08'!L44</f>
        <v>Bemerkungen:</v>
      </c>
      <c r="M44" s="513"/>
      <c r="N44" s="514"/>
      <c r="O44" s="514"/>
      <c r="P44" s="514"/>
      <c r="Q44" s="515"/>
    </row>
    <row r="45" spans="2:17" ht="15">
      <c r="B45" s="402" t="str">
        <f>'08'!B45</f>
        <v>überbetriebliche Kurse ( c )</v>
      </c>
      <c r="C45" s="403" t="e">
        <f>'08'!C45</f>
        <v>#N/A</v>
      </c>
      <c r="D45" s="403" t="e">
        <f>'08'!D45</f>
        <v>#REF!</v>
      </c>
      <c r="E45" s="403" t="e">
        <f>'08'!E45</f>
        <v>#REF!</v>
      </c>
      <c r="F45" s="403" t="e">
        <f>'08'!F45</f>
        <v>#REF!</v>
      </c>
      <c r="G45" s="404" t="e">
        <f>'08'!G45</f>
        <v>#REF!</v>
      </c>
      <c r="H45" s="27">
        <f>COUNTIF(C9:C39,"c")</f>
        <v>0</v>
      </c>
      <c r="I45" s="28">
        <f>SUM('02'!H45:I45)</f>
        <v>0</v>
      </c>
      <c r="J45" s="29"/>
      <c r="L45" s="34"/>
      <c r="M45" s="516"/>
      <c r="N45" s="517"/>
      <c r="O45" s="517"/>
      <c r="P45" s="517"/>
      <c r="Q45" s="518"/>
    </row>
    <row r="46" spans="2:17" ht="15">
      <c r="B46" s="402" t="str">
        <f>'08'!B46</f>
        <v>Militär ( i )</v>
      </c>
      <c r="C46" s="403" t="e">
        <f>'08'!C46</f>
        <v>#N/A</v>
      </c>
      <c r="D46" s="403" t="e">
        <f>'08'!D46</f>
        <v>#REF!</v>
      </c>
      <c r="E46" s="403" t="e">
        <f>'08'!E46</f>
        <v>#REF!</v>
      </c>
      <c r="F46" s="403" t="e">
        <f>'08'!F46</f>
        <v>#REF!</v>
      </c>
      <c r="G46" s="404" t="e">
        <f>'08'!G46</f>
        <v>#REF!</v>
      </c>
      <c r="H46" s="27">
        <f>COUNTIF(C9:C39,"i")</f>
        <v>0</v>
      </c>
      <c r="I46" s="28">
        <f>SUM('02'!H46:I46)</f>
        <v>0</v>
      </c>
      <c r="J46" s="29"/>
      <c r="L46" s="34"/>
      <c r="M46" s="519"/>
      <c r="N46" s="520"/>
      <c r="O46" s="520"/>
      <c r="P46" s="520"/>
      <c r="Q46" s="521"/>
    </row>
    <row r="47" spans="2:17" ht="15">
      <c r="B47" s="402" t="str">
        <f>'08'!B47</f>
        <v>Frei ( d )</v>
      </c>
      <c r="C47" s="403" t="e">
        <f>'08'!C47</f>
        <v>#N/A</v>
      </c>
      <c r="D47" s="403" t="e">
        <f>'08'!D47</f>
        <v>#REF!</v>
      </c>
      <c r="E47" s="403" t="e">
        <f>'08'!E47</f>
        <v>#REF!</v>
      </c>
      <c r="F47" s="403" t="e">
        <f>'08'!F47</f>
        <v>#REF!</v>
      </c>
      <c r="G47" s="404" t="e">
        <f>'08'!G47</f>
        <v>#REF!</v>
      </c>
      <c r="H47" s="27">
        <f>COUNTIF(C9:C39,"d")+COUNTIF(C9:C39,"f")/2</f>
        <v>0</v>
      </c>
      <c r="I47" s="28">
        <f>SUM('02'!H47:I47)</f>
        <v>0</v>
      </c>
      <c r="J47" s="29"/>
      <c r="L47" s="34"/>
      <c r="M47" s="34"/>
      <c r="N47" s="34"/>
      <c r="O47" s="38"/>
      <c r="P47" s="34"/>
      <c r="Q47" s="40"/>
    </row>
    <row r="48" spans="1:17" ht="15">
      <c r="A48" s="7">
        <v>289</v>
      </c>
      <c r="B48" s="402" t="str">
        <f>'08'!B48</f>
        <v>Ferien ( e )</v>
      </c>
      <c r="C48" s="403" t="e">
        <f>'08'!C48</f>
        <v>#N/A</v>
      </c>
      <c r="D48" s="403" t="e">
        <f>'08'!D48</f>
        <v>#REF!</v>
      </c>
      <c r="E48" s="403" t="e">
        <f>'08'!E48</f>
        <v>#REF!</v>
      </c>
      <c r="F48" s="403" t="e">
        <f>'08'!F48</f>
        <v>#REF!</v>
      </c>
      <c r="G48" s="404" t="e">
        <f>'08'!G48</f>
        <v>#REF!</v>
      </c>
      <c r="H48" s="27">
        <f>COUNTIF(C9:C39,"e")</f>
        <v>0</v>
      </c>
      <c r="I48" s="28">
        <f>SUM('02'!H48:I48)</f>
        <v>0</v>
      </c>
      <c r="J48" s="29"/>
      <c r="L48" s="38" t="str">
        <f>'08'!L48</f>
        <v>Datum</v>
      </c>
      <c r="M48" s="177"/>
      <c r="N48" s="34"/>
      <c r="O48" s="38" t="str">
        <f>'08'!O48</f>
        <v>Berufsbildner /in</v>
      </c>
      <c r="P48" s="54"/>
      <c r="Q48" s="55"/>
    </row>
    <row r="49" spans="1:17" ht="15">
      <c r="A49" s="7">
        <v>290</v>
      </c>
      <c r="B49" s="402" t="str">
        <f>'08'!B49</f>
        <v>Unfall ( g )</v>
      </c>
      <c r="C49" s="403" t="e">
        <f>'08'!C49</f>
        <v>#N/A</v>
      </c>
      <c r="D49" s="403" t="e">
        <f>'08'!D49</f>
        <v>#REF!</v>
      </c>
      <c r="E49" s="403" t="e">
        <f>'08'!E49</f>
        <v>#REF!</v>
      </c>
      <c r="F49" s="403" t="e">
        <f>'08'!F49</f>
        <v>#REF!</v>
      </c>
      <c r="G49" s="404" t="e">
        <f>'08'!G49</f>
        <v>#REF!</v>
      </c>
      <c r="H49" s="27">
        <f>COUNTIF(C9:C39,"g")</f>
        <v>0</v>
      </c>
      <c r="I49" s="28">
        <f>SUM('02'!H49:I49)</f>
        <v>0</v>
      </c>
      <c r="J49" s="29"/>
      <c r="L49" s="34"/>
      <c r="M49" s="34"/>
      <c r="N49" s="34"/>
      <c r="O49" s="38"/>
      <c r="P49" s="34"/>
      <c r="Q49" s="40"/>
    </row>
    <row r="50" spans="1:17" s="7" customFormat="1" ht="15.75" thickBot="1">
      <c r="A50" s="285">
        <v>291</v>
      </c>
      <c r="B50" s="383" t="str">
        <f>'08'!B50</f>
        <v>Krankheit ( h )</v>
      </c>
      <c r="C50" s="384" t="e">
        <f>'08'!C50</f>
        <v>#N/A</v>
      </c>
      <c r="D50" s="384" t="e">
        <f>'08'!D50</f>
        <v>#REF!</v>
      </c>
      <c r="E50" s="384" t="e">
        <f>'08'!E50</f>
        <v>#REF!</v>
      </c>
      <c r="F50" s="384" t="e">
        <f>'08'!F50</f>
        <v>#REF!</v>
      </c>
      <c r="G50" s="385" t="e">
        <f>'08'!G50</f>
        <v>#REF!</v>
      </c>
      <c r="H50" s="30">
        <f>COUNTIF(C9:C39,"h")</f>
        <v>0</v>
      </c>
      <c r="I50" s="31">
        <f>SUM('02'!H50:I50)</f>
        <v>0</v>
      </c>
      <c r="J50" s="32"/>
      <c r="L50" s="34"/>
      <c r="M50" s="35"/>
      <c r="N50" s="34"/>
      <c r="O50" s="38" t="str">
        <f>'08'!O50</f>
        <v>Lernende /r</v>
      </c>
      <c r="P50" s="54"/>
      <c r="Q50" s="55"/>
    </row>
    <row r="51" spans="12:17" ht="14.25">
      <c r="L51" s="34"/>
      <c r="M51" s="35"/>
      <c r="N51" s="34"/>
      <c r="O51" s="38"/>
      <c r="P51" s="54"/>
      <c r="Q51" s="55"/>
    </row>
  </sheetData>
  <sheetProtection password="83EF" sheet="1" objects="1" scenarios="1"/>
  <mergeCells count="37">
    <mergeCell ref="C2:J2"/>
    <mergeCell ref="B1:J1"/>
    <mergeCell ref="L1:Q1"/>
    <mergeCell ref="M3:N3"/>
    <mergeCell ref="O3:P3"/>
    <mergeCell ref="B3:B8"/>
    <mergeCell ref="C3:C8"/>
    <mergeCell ref="D3:D8"/>
    <mergeCell ref="E3:E8"/>
    <mergeCell ref="G3:G8"/>
    <mergeCell ref="H3:H8"/>
    <mergeCell ref="I3:I8"/>
    <mergeCell ref="F3:F8"/>
    <mergeCell ref="J3:J8"/>
    <mergeCell ref="M5:Q5"/>
    <mergeCell ref="M6:Q6"/>
    <mergeCell ref="M20:N20"/>
    <mergeCell ref="M27:N27"/>
    <mergeCell ref="M28:N28"/>
    <mergeCell ref="M7:Q7"/>
    <mergeCell ref="M8:N8"/>
    <mergeCell ref="M44:Q46"/>
    <mergeCell ref="Q33:Q34"/>
    <mergeCell ref="B46:G46"/>
    <mergeCell ref="B50:G50"/>
    <mergeCell ref="B43:G43"/>
    <mergeCell ref="B47:G47"/>
    <mergeCell ref="B44:G44"/>
    <mergeCell ref="B45:G45"/>
    <mergeCell ref="B48:G48"/>
    <mergeCell ref="B49:G49"/>
    <mergeCell ref="B41:G41"/>
    <mergeCell ref="B42:G42"/>
    <mergeCell ref="N33:N34"/>
    <mergeCell ref="M33:M34"/>
    <mergeCell ref="P33:P34"/>
    <mergeCell ref="O33:O34"/>
  </mergeCells>
  <conditionalFormatting sqref="E9:E39">
    <cfRule type="cellIs" priority="29" dxfId="9" operator="lessThan" stopIfTrue="1">
      <formula>0</formula>
    </cfRule>
    <cfRule type="cellIs" priority="30" dxfId="8" operator="greaterThan" stopIfTrue="1">
      <formula>0</formula>
    </cfRule>
    <cfRule type="expression" priority="31" dxfId="7" stopIfTrue="1">
      <formula>OR(C9="a",C9="b",C9="c")</formula>
    </cfRule>
  </conditionalFormatting>
  <conditionalFormatting sqref="F9:F39">
    <cfRule type="cellIs" priority="32" dxfId="9" operator="lessThan" stopIfTrue="1">
      <formula>0</formula>
    </cfRule>
    <cfRule type="cellIs" priority="33" dxfId="8" operator="greaterThan" stopIfTrue="1">
      <formula>0</formula>
    </cfRule>
    <cfRule type="expression" priority="34" dxfId="7" stopIfTrue="1">
      <formula>OR(C9="a")</formula>
    </cfRule>
  </conditionalFormatting>
  <conditionalFormatting sqref="G9:G39">
    <cfRule type="cellIs" priority="35" dxfId="9" operator="lessThan" stopIfTrue="1">
      <formula>0</formula>
    </cfRule>
    <cfRule type="cellIs" priority="36" dxfId="8" operator="greaterThan" stopIfTrue="1">
      <formula>0</formula>
    </cfRule>
    <cfRule type="expression" priority="37" dxfId="7" stopIfTrue="1">
      <formula>OR(C9="a",C9="b",C9="c")</formula>
    </cfRule>
  </conditionalFormatting>
  <conditionalFormatting sqref="B9:B39">
    <cfRule type="expression" priority="25" dxfId="0" stopIfTrue="1">
      <formula>WEEKDAY(B9)=1</formula>
    </cfRule>
  </conditionalFormatting>
  <conditionalFormatting sqref="C9:C39">
    <cfRule type="expression" priority="39" dxfId="2" stopIfTrue="1">
      <formula>AND(C9&lt;&gt;"",C9&lt;&gt;"a",C9&lt;&gt;"b",C9&lt;&gt;"c",C9&lt;&gt;"d",C9&lt;&gt;"e",C9&lt;&gt;"f",C9&lt;&gt;"g",C9&lt;&gt;"h",C9&lt;&gt;"i")</formula>
    </cfRule>
  </conditionalFormatting>
  <conditionalFormatting sqref="D9:D39">
    <cfRule type="cellIs" priority="40" dxfId="9" operator="lessThan" stopIfTrue="1">
      <formula>0</formula>
    </cfRule>
    <cfRule type="cellIs" priority="41" dxfId="8" operator="greaterThan" stopIfTrue="1">
      <formula>0</formula>
    </cfRule>
    <cfRule type="expression" priority="42" dxfId="7" stopIfTrue="1">
      <formula>AND(C9&lt;&gt;"",C9&lt;&gt;"i")</formula>
    </cfRule>
  </conditionalFormatting>
  <conditionalFormatting sqref="D9:D39">
    <cfRule type="cellIs" priority="16" dxfId="9" operator="lessThan" stopIfTrue="1">
      <formula>0</formula>
    </cfRule>
    <cfRule type="cellIs" priority="17" dxfId="8" operator="greaterThan" stopIfTrue="1">
      <formula>0</formula>
    </cfRule>
    <cfRule type="expression" priority="18" dxfId="7" stopIfTrue="1">
      <formula>AND(C9&lt;&gt;"",C9&lt;&gt;"i")</formula>
    </cfRule>
  </conditionalFormatting>
  <conditionalFormatting sqref="D9:D39">
    <cfRule type="cellIs" priority="13" dxfId="9" operator="lessThan" stopIfTrue="1">
      <formula>0</formula>
    </cfRule>
    <cfRule type="cellIs" priority="14" dxfId="8" operator="greaterThan" stopIfTrue="1">
      <formula>0</formula>
    </cfRule>
    <cfRule type="expression" priority="15" dxfId="7" stopIfTrue="1">
      <formula>AND(C9&lt;&gt;"",OR(PN_LogisOuiNon=1,AND(PN_LogisOuiNon=2,C9&lt;&gt;"i")))</formula>
    </cfRule>
  </conditionalFormatting>
  <conditionalFormatting sqref="D9:D39">
    <cfRule type="cellIs" priority="10" dxfId="9" operator="lessThan" stopIfTrue="1">
      <formula>0</formula>
    </cfRule>
    <cfRule type="cellIs" priority="11" dxfId="8" operator="greaterThan" stopIfTrue="1">
      <formula>0</formula>
    </cfRule>
    <cfRule type="expression" priority="12" dxfId="7" stopIfTrue="1">
      <formula>AND(C9&lt;&gt;"",C9&lt;&gt;"i")</formula>
    </cfRule>
  </conditionalFormatting>
  <conditionalFormatting sqref="D9:D39">
    <cfRule type="cellIs" priority="7" dxfId="9" operator="lessThan" stopIfTrue="1">
      <formula>0</formula>
    </cfRule>
    <cfRule type="cellIs" priority="8" dxfId="8" operator="greaterThan" stopIfTrue="1">
      <formula>0</formula>
    </cfRule>
    <cfRule type="expression" priority="9" dxfId="7" stopIfTrue="1">
      <formula>AND(C9&lt;&gt;"",OR(PN_LogisOuiNon=1,AND(PN_LogisOuiNon=2,C9&lt;&gt;"i")))</formula>
    </cfRule>
  </conditionalFormatting>
  <conditionalFormatting sqref="D9:D39">
    <cfRule type="cellIs" priority="4" dxfId="9" operator="lessThan" stopIfTrue="1">
      <formula>0</formula>
    </cfRule>
    <cfRule type="cellIs" priority="5" dxfId="8" operator="greaterThan" stopIfTrue="1">
      <formula>0</formula>
    </cfRule>
    <cfRule type="expression" priority="6" dxfId="7" stopIfTrue="1">
      <formula>AND(C9&lt;&gt;"",OR(PN_LogisOuiNon=1,AND(PN_LogisOuiNon=2,C9&lt;&gt;"j")))</formula>
    </cfRule>
  </conditionalFormatting>
  <conditionalFormatting sqref="H9:H39">
    <cfRule type="expression" priority="1" dxfId="6" stopIfTrue="1">
      <formula>C9="a"</formula>
    </cfRule>
    <cfRule type="expression" priority="2" dxfId="5" stopIfTrue="1">
      <formula>OR(C9="b",C9="c")</formula>
    </cfRule>
    <cfRule type="expression" priority="3" dxfId="0" stopIfTrue="1">
      <formula>OR(C9="d",C9="e")</formula>
    </cfRule>
  </conditionalFormatting>
  <hyperlinks>
    <hyperlink ref="C3:C8" location="Help_Code" display="Help_Code"/>
  </hyperlinks>
  <printOptions horizontalCentered="1" verticalCentered="1"/>
  <pageMargins left="0.3937007874015748" right="0.3937007874015748" top="0.5905511811023623" bottom="0.3937007874015748" header="0.5118110236220472" footer="0.31496062992125984"/>
  <pageSetup horizontalDpi="600" verticalDpi="600" orientation="portrait" paperSize="9" r:id="rId1"/>
  <headerFooter alignWithMargins="0">
    <oddFooter>&amp;L&amp;A&amp;RPage &amp;P</oddFooter>
  </headerFooter>
</worksheet>
</file>

<file path=xl/worksheets/sheet11.xml><?xml version="1.0" encoding="utf-8"?>
<worksheet xmlns="http://schemas.openxmlformats.org/spreadsheetml/2006/main" xmlns:r="http://schemas.openxmlformats.org/officeDocument/2006/relationships">
  <sheetPr codeName="Sheet12"/>
  <dimension ref="A1:Q51"/>
  <sheetViews>
    <sheetView zoomScalePageLayoutView="0" workbookViewId="0" topLeftCell="B1">
      <pane xSplit="1" ySplit="8" topLeftCell="C9" activePane="bottomRight" state="frozen"/>
      <selection pane="topLeft" activeCell="C9" sqref="C9"/>
      <selection pane="topRight" activeCell="C9" sqref="C9"/>
      <selection pane="bottomLeft" activeCell="C9" sqref="C9"/>
      <selection pane="bottomRight" activeCell="N19" sqref="N19"/>
    </sheetView>
  </sheetViews>
  <sheetFormatPr defaultColWidth="9.140625" defaultRowHeight="12.75"/>
  <cols>
    <col min="1" max="1" width="4.7109375" style="7" hidden="1" customWidth="1"/>
    <col min="2" max="2" width="14.7109375" style="7" customWidth="1"/>
    <col min="3" max="7" width="3.7109375" style="7" customWidth="1"/>
    <col min="8" max="9" width="8.7109375" style="8" customWidth="1"/>
    <col min="10" max="10" width="38.7109375" style="7" customWidth="1"/>
    <col min="11" max="11" width="2.7109375" style="7" hidden="1" customWidth="1"/>
    <col min="12" max="12" width="27.421875" style="9" customWidth="1"/>
    <col min="13" max="13" width="12.140625" style="9" customWidth="1"/>
    <col min="14" max="14" width="12.7109375" style="9" customWidth="1"/>
    <col min="15" max="15" width="12.7109375" style="33" customWidth="1"/>
    <col min="16" max="16" width="11.00390625" style="9" customWidth="1"/>
    <col min="17" max="17" width="12.7109375" style="9" customWidth="1"/>
    <col min="18" max="16384" width="9.140625" style="2" customWidth="1"/>
  </cols>
  <sheetData>
    <row r="1" spans="1:17" ht="17.25" thickBot="1">
      <c r="A1" s="10"/>
      <c r="B1" s="430" t="str">
        <f>'08'!B1</f>
        <v>Agenda</v>
      </c>
      <c r="C1" s="431"/>
      <c r="D1" s="431"/>
      <c r="E1" s="431"/>
      <c r="F1" s="431"/>
      <c r="G1" s="431"/>
      <c r="H1" s="431"/>
      <c r="I1" s="431"/>
      <c r="J1" s="432"/>
      <c r="K1" s="10"/>
      <c r="L1" s="433" t="str">
        <f>'08'!L1</f>
        <v>Monatliche Lohnabrechnung</v>
      </c>
      <c r="M1" s="434"/>
      <c r="N1" s="434"/>
      <c r="O1" s="434"/>
      <c r="P1" s="434"/>
      <c r="Q1" s="435"/>
    </row>
    <row r="2" spans="1:17" ht="17.25" thickBot="1">
      <c r="A2" s="10"/>
      <c r="B2" s="175" t="str">
        <f>'08'!B2</f>
        <v>Lerndende / r</v>
      </c>
      <c r="C2" s="495" t="str">
        <f>"- "&amp;TRIM(DB_Apprenti)&amp;" -"</f>
        <v>-  -</v>
      </c>
      <c r="D2" s="495"/>
      <c r="E2" s="495"/>
      <c r="F2" s="495"/>
      <c r="G2" s="495"/>
      <c r="H2" s="495"/>
      <c r="I2" s="495"/>
      <c r="J2" s="496"/>
      <c r="K2" s="10"/>
      <c r="L2" s="152"/>
      <c r="M2" s="152"/>
      <c r="N2" s="152"/>
      <c r="O2" s="152"/>
      <c r="P2" s="152"/>
      <c r="Q2" s="152"/>
    </row>
    <row r="3" spans="2:17" ht="15" customHeight="1">
      <c r="B3" s="438">
        <f>DATE(DB_Annee+1,4,1)</f>
        <v>43922</v>
      </c>
      <c r="C3" s="507" t="str">
        <f>'08'!C3</f>
        <v>[ a-b-c-d-e-f-g-h-i ]</v>
      </c>
      <c r="D3" s="444" t="str">
        <f>'08'!D3</f>
        <v>Übernachtung</v>
      </c>
      <c r="E3" s="447" t="str">
        <f>'08'!E3</f>
        <v>Morgenessen</v>
      </c>
      <c r="F3" s="447" t="str">
        <f>'08'!F3</f>
        <v>Mittagessen</v>
      </c>
      <c r="G3" s="413" t="str">
        <f>'08'!G3</f>
        <v>Abendessen</v>
      </c>
      <c r="H3" s="418" t="str">
        <f>'08'!H3</f>
        <v>Betrag Naturallohn</v>
      </c>
      <c r="I3" s="522" t="str">
        <f>'08'!I3</f>
        <v>Angepasster Betrag</v>
      </c>
      <c r="J3" s="503" t="str">
        <f>'08'!J3</f>
        <v>Kommentar
a = Arbeitstag
b = Schultag
c = überbetrieblicher Kurs (üK)
d = Freitag
e = Ferientag
f = 1/2 Arbeitstag, 1/2 Freitag
g = Unfall (ganz Tag)
h = Krankheit (ganz Tag)
i = Miltär</v>
      </c>
      <c r="L3" s="36" t="str">
        <f>'08'!L3</f>
        <v>Monat:</v>
      </c>
      <c r="M3" s="436">
        <f>B3</f>
        <v>43922</v>
      </c>
      <c r="N3" s="436"/>
      <c r="O3" s="437" t="str">
        <f>'08'!O3</f>
        <v>Jahr:</v>
      </c>
      <c r="P3" s="437">
        <f>'08'!P3</f>
        <v>0</v>
      </c>
      <c r="Q3" s="176">
        <f>B3</f>
        <v>43922</v>
      </c>
    </row>
    <row r="4" spans="1:17" ht="15">
      <c r="A4" s="10"/>
      <c r="B4" s="439"/>
      <c r="C4" s="508">
        <f>'08'!C4</f>
        <v>0</v>
      </c>
      <c r="D4" s="445">
        <f>'08'!D4</f>
        <v>0</v>
      </c>
      <c r="E4" s="448">
        <f>'08'!E4</f>
        <v>0</v>
      </c>
      <c r="F4" s="448">
        <f>'08'!F4</f>
        <v>0</v>
      </c>
      <c r="G4" s="414">
        <f>'08'!G4</f>
        <v>0</v>
      </c>
      <c r="H4" s="419">
        <f>'08'!H4</f>
        <v>0</v>
      </c>
      <c r="I4" s="523">
        <f>'08'!I4</f>
        <v>0</v>
      </c>
      <c r="J4" s="524">
        <f>'08'!J4</f>
        <v>0</v>
      </c>
      <c r="K4" s="10"/>
      <c r="L4" s="34"/>
      <c r="M4" s="34"/>
      <c r="N4" s="37"/>
      <c r="O4" s="36"/>
      <c r="P4" s="11"/>
      <c r="Q4" s="11"/>
    </row>
    <row r="5" spans="1:17" ht="15">
      <c r="A5" s="10"/>
      <c r="B5" s="439"/>
      <c r="C5" s="508">
        <f>'08'!C5</f>
        <v>0</v>
      </c>
      <c r="D5" s="445">
        <f>'08'!D5</f>
        <v>0</v>
      </c>
      <c r="E5" s="448">
        <f>'08'!E5</f>
        <v>0</v>
      </c>
      <c r="F5" s="448">
        <f>'08'!F5</f>
        <v>0</v>
      </c>
      <c r="G5" s="414">
        <f>'08'!G5</f>
        <v>0</v>
      </c>
      <c r="H5" s="419">
        <f>'08'!H5</f>
        <v>0</v>
      </c>
      <c r="I5" s="523">
        <f>'08'!I5</f>
        <v>0</v>
      </c>
      <c r="J5" s="524">
        <f>'08'!J5</f>
        <v>0</v>
      </c>
      <c r="K5" s="10"/>
      <c r="L5" s="36" t="str">
        <f>'08'!L5</f>
        <v>Berufsbildner</v>
      </c>
      <c r="M5" s="416">
        <f>TRIM(DB_Maitre)</f>
      </c>
      <c r="N5" s="416"/>
      <c r="O5" s="416"/>
      <c r="P5" s="416"/>
      <c r="Q5" s="416"/>
    </row>
    <row r="6" spans="1:17" ht="15">
      <c r="A6" s="10"/>
      <c r="B6" s="439"/>
      <c r="C6" s="508">
        <f>'08'!C6</f>
        <v>0</v>
      </c>
      <c r="D6" s="445">
        <f>'08'!D6</f>
        <v>0</v>
      </c>
      <c r="E6" s="448">
        <f>'08'!E6</f>
        <v>0</v>
      </c>
      <c r="F6" s="448">
        <f>'08'!F6</f>
        <v>0</v>
      </c>
      <c r="G6" s="414">
        <f>'08'!G6</f>
        <v>0</v>
      </c>
      <c r="H6" s="419">
        <f>'08'!H6</f>
        <v>0</v>
      </c>
      <c r="I6" s="523">
        <f>'08'!I6</f>
        <v>0</v>
      </c>
      <c r="J6" s="524">
        <f>'08'!J6</f>
        <v>0</v>
      </c>
      <c r="K6" s="10"/>
      <c r="L6" s="36" t="str">
        <f>'08'!L6</f>
        <v>Ort</v>
      </c>
      <c r="M6" s="417">
        <f>TRIM(DB_MaitreLieu)</f>
      </c>
      <c r="N6" s="417"/>
      <c r="O6" s="417"/>
      <c r="P6" s="417"/>
      <c r="Q6" s="417"/>
    </row>
    <row r="7" spans="1:17" ht="15">
      <c r="A7" s="10"/>
      <c r="B7" s="439"/>
      <c r="C7" s="508">
        <f>'08'!C7</f>
        <v>0</v>
      </c>
      <c r="D7" s="445">
        <f>'08'!D7</f>
        <v>0</v>
      </c>
      <c r="E7" s="448">
        <f>'08'!E7</f>
        <v>0</v>
      </c>
      <c r="F7" s="448">
        <f>'08'!F7</f>
        <v>0</v>
      </c>
      <c r="G7" s="414">
        <f>'08'!G7</f>
        <v>0</v>
      </c>
      <c r="H7" s="419">
        <f>'08'!H7</f>
        <v>0</v>
      </c>
      <c r="I7" s="523">
        <f>'08'!I7</f>
        <v>0</v>
      </c>
      <c r="J7" s="524">
        <f>'08'!J7</f>
        <v>0</v>
      </c>
      <c r="K7" s="10"/>
      <c r="L7" s="36" t="str">
        <f>'08'!L7</f>
        <v>Lernende / r</v>
      </c>
      <c r="M7" s="417">
        <f>TRIM(DB_Apprenti)</f>
      </c>
      <c r="N7" s="417"/>
      <c r="O7" s="417"/>
      <c r="P7" s="417"/>
      <c r="Q7" s="417"/>
    </row>
    <row r="8" spans="2:17" ht="15.75" thickBot="1">
      <c r="B8" s="440"/>
      <c r="C8" s="509">
        <f>'08'!C8</f>
        <v>0</v>
      </c>
      <c r="D8" s="446">
        <f>'08'!D8</f>
        <v>0</v>
      </c>
      <c r="E8" s="449">
        <f>'08'!E8</f>
        <v>0</v>
      </c>
      <c r="F8" s="449">
        <f>'08'!F8</f>
        <v>0</v>
      </c>
      <c r="G8" s="415">
        <f>'08'!G8</f>
        <v>0</v>
      </c>
      <c r="H8" s="420">
        <f>'08'!H8</f>
        <v>0</v>
      </c>
      <c r="I8" s="423">
        <f>'08'!I8</f>
        <v>0</v>
      </c>
      <c r="J8" s="525">
        <f>'08'!J8</f>
        <v>0</v>
      </c>
      <c r="L8" s="36" t="str">
        <f>'08'!L8</f>
        <v>AHV-Nummer</v>
      </c>
      <c r="M8" s="417">
        <f>TRIM(DB_AVS)</f>
      </c>
      <c r="N8" s="417"/>
      <c r="P8" s="3" t="str">
        <f>'08'!P8</f>
        <v>Geburtsdatum</v>
      </c>
      <c r="Q8" s="42">
        <f>IF(DB_DateNaissance=0,"",DB_DateNaissance)</f>
      </c>
    </row>
    <row r="9" spans="2:11" ht="15">
      <c r="B9" s="87">
        <f>B3</f>
        <v>43922</v>
      </c>
      <c r="C9" s="154"/>
      <c r="D9" s="359"/>
      <c r="E9" s="268"/>
      <c r="F9" s="268"/>
      <c r="G9" s="269"/>
      <c r="H9" s="12">
        <f aca="true" t="shared" si="0" ref="H9:H39">MAX(IF(C9="a",PN_Travail,IF(C9="b",PN_CoursProf,IF(C9="c",PN_CoursIE,IF(C9="d",PN_Conge,0)))),IF(C9="e",PN_Vacances,IF(C9="f",PN_DemiJour,IF(C9="g",PN_Accident,IF(C9="h",PN_Maladie,IF(C9="i",PN_Armee,0))))))</f>
        <v>0</v>
      </c>
      <c r="I9" s="13">
        <f aca="true" t="shared" si="1" ref="I9:I39">H9+D9*PN_Logis_Plus+E9*PN_Dejeuner_Plus+F9*PN_Diner_Plus+G9*PN_Souper_Plus</f>
        <v>0</v>
      </c>
      <c r="J9" s="161"/>
      <c r="K9" s="14"/>
    </row>
    <row r="10" spans="2:10" ht="15">
      <c r="B10" s="15">
        <f>B9+1</f>
        <v>43923</v>
      </c>
      <c r="C10" s="154"/>
      <c r="D10" s="359"/>
      <c r="E10" s="268"/>
      <c r="F10" s="268"/>
      <c r="G10" s="269"/>
      <c r="H10" s="12">
        <f t="shared" si="0"/>
        <v>0</v>
      </c>
      <c r="I10" s="13">
        <f t="shared" si="1"/>
        <v>0</v>
      </c>
      <c r="J10" s="190"/>
    </row>
    <row r="11" spans="1:17" ht="15">
      <c r="A11" s="163">
        <v>230</v>
      </c>
      <c r="B11" s="15">
        <f aca="true" t="shared" si="2" ref="B11:B38">B10+1</f>
        <v>43924</v>
      </c>
      <c r="C11" s="154"/>
      <c r="D11" s="359"/>
      <c r="E11" s="268"/>
      <c r="F11" s="268"/>
      <c r="G11" s="269"/>
      <c r="H11" s="12">
        <f t="shared" si="0"/>
        <v>0</v>
      </c>
      <c r="I11" s="13">
        <f t="shared" si="1"/>
        <v>0</v>
      </c>
      <c r="J11" s="190"/>
      <c r="L11" s="39" t="str">
        <f>'08'!L11</f>
        <v>Bruttolohn  </v>
      </c>
      <c r="M11" s="34" t="e">
        <f>IF(PN_EffMoy=0,SUBSTITUTE(VLOOKUP(A11+1,Tb_Traduction,DB_Langue,FALSE),"***",TEXT(J40,"0.00")),"")</f>
        <v>#N/A</v>
      </c>
      <c r="N11" s="34"/>
      <c r="O11" s="38"/>
      <c r="P11" s="45"/>
      <c r="Q11" s="49" t="e">
        <f>IF(OR(PN_EffMoy=0,Nb_Mois&lt;&gt;12),Sa_BaseMensuelArrondi/H42*C40,Sa_BaseMensuelArrondi)</f>
        <v>#N/A</v>
      </c>
    </row>
    <row r="12" spans="2:17" ht="15">
      <c r="B12" s="15">
        <f t="shared" si="2"/>
        <v>43925</v>
      </c>
      <c r="C12" s="154"/>
      <c r="D12" s="359"/>
      <c r="E12" s="268"/>
      <c r="F12" s="268"/>
      <c r="G12" s="269"/>
      <c r="H12" s="12">
        <f t="shared" si="0"/>
        <v>0</v>
      </c>
      <c r="I12" s="13">
        <f t="shared" si="1"/>
        <v>0</v>
      </c>
      <c r="J12" s="190"/>
      <c r="L12" s="9" t="str">
        <f>'08'!L12</f>
        <v>Prämie, Bonus, Gratifikation</v>
      </c>
      <c r="Q12" s="155"/>
    </row>
    <row r="13" spans="2:17" ht="15">
      <c r="B13" s="15">
        <f t="shared" si="2"/>
        <v>43926</v>
      </c>
      <c r="C13" s="154"/>
      <c r="D13" s="359"/>
      <c r="E13" s="268"/>
      <c r="F13" s="268"/>
      <c r="G13" s="269"/>
      <c r="H13" s="12">
        <f t="shared" si="0"/>
        <v>0</v>
      </c>
      <c r="I13" s="13">
        <f t="shared" si="1"/>
        <v>0</v>
      </c>
      <c r="J13" s="190"/>
      <c r="L13" s="88" t="str">
        <f>'08'!L13</f>
        <v>Bruttolohn total</v>
      </c>
      <c r="Q13" s="89" t="e">
        <f>SUM(Q11:Q12)</f>
        <v>#N/A</v>
      </c>
    </row>
    <row r="14" spans="2:10" ht="15">
      <c r="B14" s="15">
        <f t="shared" si="2"/>
        <v>43927</v>
      </c>
      <c r="C14" s="154"/>
      <c r="D14" s="359"/>
      <c r="E14" s="268"/>
      <c r="F14" s="268"/>
      <c r="G14" s="269"/>
      <c r="H14" s="12">
        <f t="shared" si="0"/>
        <v>0</v>
      </c>
      <c r="I14" s="13">
        <f t="shared" si="1"/>
        <v>0</v>
      </c>
      <c r="J14" s="190"/>
    </row>
    <row r="15" spans="2:17" ht="15">
      <c r="B15" s="15">
        <f t="shared" si="2"/>
        <v>43928</v>
      </c>
      <c r="C15" s="154"/>
      <c r="D15" s="359"/>
      <c r="E15" s="268"/>
      <c r="F15" s="268"/>
      <c r="G15" s="269"/>
      <c r="H15" s="12">
        <f t="shared" si="0"/>
        <v>0</v>
      </c>
      <c r="I15" s="13">
        <f t="shared" si="1"/>
        <v>0</v>
      </c>
      <c r="J15" s="190"/>
      <c r="L15" s="39" t="str">
        <f>'08'!L15</f>
        <v>Abzüge</v>
      </c>
      <c r="M15" s="11" t="str">
        <f>'08'!M15</f>
        <v>Anteil</v>
      </c>
      <c r="N15" s="11" t="s">
        <v>37</v>
      </c>
      <c r="O15" s="38"/>
      <c r="P15" s="45"/>
      <c r="Q15" s="46"/>
    </row>
    <row r="16" spans="2:17" ht="15">
      <c r="B16" s="15">
        <f t="shared" si="2"/>
        <v>43929</v>
      </c>
      <c r="C16" s="154"/>
      <c r="D16" s="359"/>
      <c r="E16" s="268"/>
      <c r="F16" s="268"/>
      <c r="G16" s="269"/>
      <c r="H16" s="12">
        <f t="shared" si="0"/>
        <v>0</v>
      </c>
      <c r="I16" s="13">
        <f t="shared" si="1"/>
        <v>0</v>
      </c>
      <c r="J16" s="190"/>
      <c r="L16" s="48" t="str">
        <f>'08'!L16</f>
        <v>Beiträge AHV, IV, EO*:</v>
      </c>
      <c r="M16" s="43" t="s">
        <v>50</v>
      </c>
      <c r="N16" s="44">
        <f>IF(B3&gt;=DB_SoumisAVS,RS_AVS_Plus,0)</f>
        <v>0.05125</v>
      </c>
      <c r="O16" s="38"/>
      <c r="P16" s="50" t="e">
        <f>$Q$13*N16</f>
        <v>#N/A</v>
      </c>
      <c r="Q16" s="46"/>
    </row>
    <row r="17" spans="2:17" ht="15">
      <c r="B17" s="15">
        <f t="shared" si="2"/>
        <v>43930</v>
      </c>
      <c r="C17" s="154"/>
      <c r="D17" s="359"/>
      <c r="E17" s="268"/>
      <c r="F17" s="268"/>
      <c r="G17" s="269"/>
      <c r="H17" s="12">
        <f t="shared" si="0"/>
        <v>0</v>
      </c>
      <c r="I17" s="13">
        <f t="shared" si="1"/>
        <v>0</v>
      </c>
      <c r="J17" s="190"/>
      <c r="L17" s="48" t="str">
        <f>'08'!L17</f>
        <v>Beiträge ALV*:</v>
      </c>
      <c r="M17" s="43" t="s">
        <v>50</v>
      </c>
      <c r="N17" s="44">
        <f>IF(B3&gt;=DB_SoumisAVS,RS_AC_Plus,0)</f>
        <v>0.011</v>
      </c>
      <c r="O17" s="38"/>
      <c r="P17" s="50" t="e">
        <f>$Q$13*N17</f>
        <v>#N/A</v>
      </c>
      <c r="Q17" s="46"/>
    </row>
    <row r="18" spans="2:17" ht="15">
      <c r="B18" s="15">
        <f t="shared" si="2"/>
        <v>43931</v>
      </c>
      <c r="C18" s="154"/>
      <c r="D18" s="359"/>
      <c r="E18" s="268"/>
      <c r="F18" s="268"/>
      <c r="G18" s="269"/>
      <c r="H18" s="12">
        <f t="shared" si="0"/>
        <v>0</v>
      </c>
      <c r="I18" s="13">
        <f t="shared" si="1"/>
        <v>0</v>
      </c>
      <c r="J18" s="190"/>
      <c r="L18" s="48" t="str">
        <f>'08'!L18</f>
        <v>Nichtbetriebsunfall:</v>
      </c>
      <c r="M18" s="43" t="s">
        <v>244</v>
      </c>
      <c r="N18" s="44">
        <f>RS_ANP_Plus</f>
        <v>0.01641</v>
      </c>
      <c r="O18" s="38"/>
      <c r="P18" s="51" t="e">
        <f>$Q$13*N18</f>
        <v>#N/A</v>
      </c>
      <c r="Q18" s="46"/>
    </row>
    <row r="19" spans="2:17" ht="15">
      <c r="B19" s="15">
        <f t="shared" si="2"/>
        <v>43932</v>
      </c>
      <c r="C19" s="154"/>
      <c r="D19" s="359"/>
      <c r="E19" s="268"/>
      <c r="F19" s="268"/>
      <c r="G19" s="269"/>
      <c r="H19" s="12">
        <f t="shared" si="0"/>
        <v>0</v>
      </c>
      <c r="I19" s="13">
        <f t="shared" si="1"/>
        <v>0</v>
      </c>
      <c r="J19" s="190"/>
      <c r="L19" s="48" t="str">
        <f>'08'!L19</f>
        <v>Krankentaggeld:</v>
      </c>
      <c r="M19" s="43" t="s">
        <v>50</v>
      </c>
      <c r="N19" s="44">
        <f>RS_MC_Plus</f>
        <v>0.0044</v>
      </c>
      <c r="O19" s="38"/>
      <c r="P19" s="50" t="e">
        <f>$Q$13*N19</f>
        <v>#N/A</v>
      </c>
      <c r="Q19" s="46"/>
    </row>
    <row r="20" spans="2:16" ht="15">
      <c r="B20" s="15">
        <f t="shared" si="2"/>
        <v>43933</v>
      </c>
      <c r="C20" s="154"/>
      <c r="D20" s="359"/>
      <c r="E20" s="268"/>
      <c r="F20" s="268"/>
      <c r="G20" s="269"/>
      <c r="H20" s="12">
        <f t="shared" si="0"/>
        <v>0</v>
      </c>
      <c r="I20" s="13">
        <f t="shared" si="1"/>
        <v>0</v>
      </c>
      <c r="J20" s="190"/>
      <c r="L20" s="48" t="str">
        <f>'08'!L20</f>
        <v>Anderer Abzug:</v>
      </c>
      <c r="M20" s="511"/>
      <c r="N20" s="511"/>
      <c r="O20" s="38"/>
      <c r="P20" s="160"/>
    </row>
    <row r="21" spans="2:16" ht="15">
      <c r="B21" s="15">
        <f t="shared" si="2"/>
        <v>43934</v>
      </c>
      <c r="C21" s="154"/>
      <c r="D21" s="359"/>
      <c r="E21" s="268"/>
      <c r="F21" s="268"/>
      <c r="G21" s="269"/>
      <c r="H21" s="12">
        <f t="shared" si="0"/>
        <v>0</v>
      </c>
      <c r="I21" s="13">
        <f t="shared" si="1"/>
        <v>0</v>
      </c>
      <c r="J21" s="190"/>
      <c r="L21" s="38" t="e">
        <f>'08'!L21</f>
        <v>#N/A</v>
      </c>
      <c r="M21" s="34"/>
      <c r="N21" s="34"/>
      <c r="O21" s="38"/>
      <c r="P21" s="50" t="e">
        <f>IF(PN_EffMoy=0,I40,IF(Nb_Mois=12,Sa_NatureMensuelArrondi,Sa_NatureMensuelArrondi*C40/H42))</f>
        <v>#N/A</v>
      </c>
    </row>
    <row r="22" spans="2:16" ht="15">
      <c r="B22" s="15">
        <f t="shared" si="2"/>
        <v>43935</v>
      </c>
      <c r="C22" s="154"/>
      <c r="D22" s="359"/>
      <c r="E22" s="268"/>
      <c r="F22" s="268"/>
      <c r="G22" s="269"/>
      <c r="H22" s="12">
        <f t="shared" si="0"/>
        <v>0</v>
      </c>
      <c r="I22" s="13">
        <f t="shared" si="1"/>
        <v>0</v>
      </c>
      <c r="J22" s="190"/>
      <c r="L22" s="41" t="str">
        <f>'08'!L22</f>
        <v>*) sofern pflichtig</v>
      </c>
      <c r="P22" s="47"/>
    </row>
    <row r="23" spans="2:17" ht="15">
      <c r="B23" s="15">
        <f t="shared" si="2"/>
        <v>43936</v>
      </c>
      <c r="C23" s="154"/>
      <c r="D23" s="359"/>
      <c r="E23" s="268"/>
      <c r="F23" s="268"/>
      <c r="G23" s="269"/>
      <c r="H23" s="12">
        <f t="shared" si="0"/>
        <v>0</v>
      </c>
      <c r="I23" s="13">
        <f t="shared" si="1"/>
        <v>0</v>
      </c>
      <c r="J23" s="190"/>
      <c r="Q23" s="46"/>
    </row>
    <row r="24" spans="2:17" ht="15">
      <c r="B24" s="15">
        <f t="shared" si="2"/>
        <v>43937</v>
      </c>
      <c r="C24" s="154"/>
      <c r="D24" s="359"/>
      <c r="E24" s="268"/>
      <c r="F24" s="268"/>
      <c r="G24" s="269"/>
      <c r="H24" s="12">
        <f t="shared" si="0"/>
        <v>0</v>
      </c>
      <c r="I24" s="13">
        <f t="shared" si="1"/>
        <v>0</v>
      </c>
      <c r="J24" s="190"/>
      <c r="L24" s="39" t="str">
        <f>'08'!L24</f>
        <v>Total Abzüge</v>
      </c>
      <c r="Q24" s="49" t="e">
        <f>INT((SUM(P16:P21)*20)+0.5)/20</f>
        <v>#N/A</v>
      </c>
    </row>
    <row r="25" spans="2:17" ht="15">
      <c r="B25" s="15">
        <f t="shared" si="2"/>
        <v>43938</v>
      </c>
      <c r="C25" s="154"/>
      <c r="D25" s="359"/>
      <c r="E25" s="268"/>
      <c r="F25" s="268"/>
      <c r="G25" s="269"/>
      <c r="H25" s="12">
        <f t="shared" si="0"/>
        <v>0</v>
      </c>
      <c r="I25" s="13">
        <f t="shared" si="1"/>
        <v>0</v>
      </c>
      <c r="J25" s="190"/>
      <c r="Q25" s="47"/>
    </row>
    <row r="26" spans="2:17" ht="15">
      <c r="B26" s="15">
        <f t="shared" si="2"/>
        <v>43939</v>
      </c>
      <c r="C26" s="154"/>
      <c r="D26" s="359"/>
      <c r="E26" s="268"/>
      <c r="F26" s="268"/>
      <c r="G26" s="269"/>
      <c r="H26" s="12">
        <f t="shared" si="0"/>
        <v>0</v>
      </c>
      <c r="I26" s="13">
        <f t="shared" si="1"/>
        <v>0</v>
      </c>
      <c r="J26" s="190"/>
      <c r="L26" s="39" t="str">
        <f>'08'!L26</f>
        <v>Rückvergügungen</v>
      </c>
      <c r="M26" s="34"/>
      <c r="N26" s="34"/>
      <c r="O26" s="38"/>
      <c r="P26" s="45"/>
      <c r="Q26" s="46"/>
    </row>
    <row r="27" spans="2:17" ht="15">
      <c r="B27" s="15">
        <f t="shared" si="2"/>
        <v>43940</v>
      </c>
      <c r="C27" s="154"/>
      <c r="D27" s="359"/>
      <c r="E27" s="268"/>
      <c r="F27" s="268"/>
      <c r="G27" s="269"/>
      <c r="H27" s="12">
        <f t="shared" si="0"/>
        <v>0</v>
      </c>
      <c r="I27" s="13">
        <f t="shared" si="1"/>
        <v>0</v>
      </c>
      <c r="J27" s="190"/>
      <c r="L27" s="38" t="str">
        <f>'08'!L27</f>
        <v>Kostenbeteiligungen</v>
      </c>
      <c r="M27" s="511"/>
      <c r="N27" s="511"/>
      <c r="O27" s="38"/>
      <c r="P27" s="159"/>
      <c r="Q27" s="46"/>
    </row>
    <row r="28" spans="2:17" ht="15">
      <c r="B28" s="15">
        <f t="shared" si="2"/>
        <v>43941</v>
      </c>
      <c r="C28" s="154"/>
      <c r="D28" s="359"/>
      <c r="E28" s="268"/>
      <c r="F28" s="268"/>
      <c r="G28" s="269"/>
      <c r="H28" s="12">
        <f t="shared" si="0"/>
        <v>0</v>
      </c>
      <c r="I28" s="13">
        <f t="shared" si="1"/>
        <v>0</v>
      </c>
      <c r="J28" s="190"/>
      <c r="L28" s="38" t="str">
        <f>'08'!L28</f>
        <v>Übrige Rückvergütungen</v>
      </c>
      <c r="M28" s="512"/>
      <c r="N28" s="512"/>
      <c r="O28" s="38"/>
      <c r="P28" s="160"/>
      <c r="Q28" s="46"/>
    </row>
    <row r="29" spans="2:10" ht="15">
      <c r="B29" s="15">
        <f t="shared" si="2"/>
        <v>43942</v>
      </c>
      <c r="C29" s="154"/>
      <c r="D29" s="359"/>
      <c r="E29" s="268"/>
      <c r="F29" s="268"/>
      <c r="G29" s="269"/>
      <c r="H29" s="12">
        <f t="shared" si="0"/>
        <v>0</v>
      </c>
      <c r="I29" s="13">
        <f t="shared" si="1"/>
        <v>0</v>
      </c>
      <c r="J29" s="190"/>
    </row>
    <row r="30" spans="2:17" ht="15">
      <c r="B30" s="15">
        <f t="shared" si="2"/>
        <v>43943</v>
      </c>
      <c r="C30" s="154"/>
      <c r="D30" s="359"/>
      <c r="E30" s="268"/>
      <c r="F30" s="268"/>
      <c r="G30" s="269"/>
      <c r="H30" s="12">
        <f t="shared" si="0"/>
        <v>0</v>
      </c>
      <c r="I30" s="13">
        <f t="shared" si="1"/>
        <v>0</v>
      </c>
      <c r="J30" s="190"/>
      <c r="L30" s="39" t="str">
        <f>'08'!L30</f>
        <v>Zuschläge</v>
      </c>
      <c r="M30" s="34"/>
      <c r="N30" s="34"/>
      <c r="O30" s="38"/>
      <c r="P30" s="45"/>
      <c r="Q30" s="52">
        <f>SUM(P27:P28)</f>
        <v>0</v>
      </c>
    </row>
    <row r="31" spans="2:17" ht="15">
      <c r="B31" s="15">
        <f t="shared" si="2"/>
        <v>43944</v>
      </c>
      <c r="C31" s="154"/>
      <c r="D31" s="359"/>
      <c r="E31" s="268"/>
      <c r="F31" s="268"/>
      <c r="G31" s="269"/>
      <c r="H31" s="12">
        <f t="shared" si="0"/>
        <v>0</v>
      </c>
      <c r="I31" s="13">
        <f t="shared" si="1"/>
        <v>0</v>
      </c>
      <c r="J31" s="190"/>
      <c r="L31" s="34"/>
      <c r="M31" s="34"/>
      <c r="N31" s="34"/>
      <c r="O31" s="38"/>
      <c r="P31" s="45"/>
      <c r="Q31" s="46"/>
    </row>
    <row r="32" spans="2:17" ht="15">
      <c r="B32" s="15">
        <f t="shared" si="2"/>
        <v>43945</v>
      </c>
      <c r="C32" s="154"/>
      <c r="D32" s="359"/>
      <c r="E32" s="268"/>
      <c r="F32" s="268"/>
      <c r="G32" s="269"/>
      <c r="H32" s="12">
        <f t="shared" si="0"/>
        <v>0</v>
      </c>
      <c r="I32" s="13">
        <f t="shared" si="1"/>
        <v>0</v>
      </c>
      <c r="J32" s="190"/>
      <c r="L32" s="39" t="str">
        <f>'08'!L32</f>
        <v>Netto-Auszahlung</v>
      </c>
      <c r="M32" s="34"/>
      <c r="N32" s="34"/>
      <c r="O32" s="38"/>
      <c r="P32" s="45"/>
      <c r="Q32" s="53" t="e">
        <f>Q13+Q30-Q24</f>
        <v>#N/A</v>
      </c>
    </row>
    <row r="33" spans="2:17" ht="15">
      <c r="B33" s="15">
        <f t="shared" si="2"/>
        <v>43946</v>
      </c>
      <c r="C33" s="154"/>
      <c r="D33" s="359"/>
      <c r="E33" s="268"/>
      <c r="F33" s="268"/>
      <c r="G33" s="269"/>
      <c r="H33" s="12">
        <f t="shared" si="0"/>
        <v>0</v>
      </c>
      <c r="I33" s="13">
        <f t="shared" si="1"/>
        <v>0</v>
      </c>
      <c r="J33" s="190"/>
      <c r="L33" s="34"/>
      <c r="M33" s="386" t="str">
        <f>'08'!M33</f>
        <v>aktueller
Monat</v>
      </c>
      <c r="N33" s="386" t="str">
        <f>'08'!N33</f>
        <v>Summe der
Vormonate</v>
      </c>
      <c r="O33" s="386" t="str">
        <f>'08'!O33</f>
        <v>Jahresvor-
anschlag:</v>
      </c>
      <c r="P33" s="510"/>
      <c r="Q33" s="386" t="str">
        <f>'08'!Q33</f>
        <v>Aktueller
Saldo</v>
      </c>
    </row>
    <row r="34" spans="2:17" ht="15">
      <c r="B34" s="15">
        <f t="shared" si="2"/>
        <v>43947</v>
      </c>
      <c r="C34" s="154"/>
      <c r="D34" s="359"/>
      <c r="E34" s="268"/>
      <c r="F34" s="268"/>
      <c r="G34" s="269"/>
      <c r="H34" s="12">
        <f t="shared" si="0"/>
        <v>0</v>
      </c>
      <c r="I34" s="13">
        <f t="shared" si="1"/>
        <v>0</v>
      </c>
      <c r="J34" s="190"/>
      <c r="L34" s="56" t="str">
        <f>'08'!L34</f>
        <v>Tagesabrechnung</v>
      </c>
      <c r="M34" s="387">
        <f>'08'!M34</f>
        <v>0</v>
      </c>
      <c r="N34" s="387">
        <f>'08'!N34</f>
        <v>0</v>
      </c>
      <c r="O34" s="387">
        <f>'08'!O34</f>
        <v>0</v>
      </c>
      <c r="P34" s="510"/>
      <c r="Q34" s="387">
        <f>'08'!Q34</f>
        <v>0</v>
      </c>
    </row>
    <row r="35" spans="2:17" ht="15">
      <c r="B35" s="15">
        <f t="shared" si="2"/>
        <v>43948</v>
      </c>
      <c r="C35" s="154"/>
      <c r="D35" s="359"/>
      <c r="E35" s="268"/>
      <c r="F35" s="268"/>
      <c r="G35" s="269"/>
      <c r="H35" s="12">
        <f t="shared" si="0"/>
        <v>0</v>
      </c>
      <c r="I35" s="13">
        <f t="shared" si="1"/>
        <v>0</v>
      </c>
      <c r="J35" s="190"/>
      <c r="L35" s="287" t="str">
        <f>'08'!L35</f>
        <v>Arbeit:</v>
      </c>
      <c r="M35" s="262">
        <f aca="true" t="shared" si="3" ref="M35:N38">H43</f>
        <v>0</v>
      </c>
      <c r="N35" s="262">
        <f t="shared" si="3"/>
        <v>0</v>
      </c>
      <c r="O35" s="262" t="e">
        <f>NJ_Travail</f>
        <v>#N/A</v>
      </c>
      <c r="Q35" s="263" t="e">
        <f aca="true" t="shared" si="4" ref="Q35:Q42">O35-N35-M35</f>
        <v>#N/A</v>
      </c>
    </row>
    <row r="36" spans="2:17" ht="15">
      <c r="B36" s="15">
        <f t="shared" si="2"/>
        <v>43949</v>
      </c>
      <c r="C36" s="154"/>
      <c r="D36" s="359"/>
      <c r="E36" s="268"/>
      <c r="F36" s="268"/>
      <c r="G36" s="269"/>
      <c r="H36" s="12">
        <f t="shared" si="0"/>
        <v>0</v>
      </c>
      <c r="I36" s="13">
        <f t="shared" si="1"/>
        <v>0</v>
      </c>
      <c r="J36" s="190"/>
      <c r="L36" s="287" t="str">
        <f>'08'!L36</f>
        <v>Schultage:</v>
      </c>
      <c r="M36" s="178">
        <f t="shared" si="3"/>
        <v>0</v>
      </c>
      <c r="N36" s="178">
        <f t="shared" si="3"/>
        <v>0</v>
      </c>
      <c r="O36" s="178" t="e">
        <f>NJ_CoursProf</f>
        <v>#N/A</v>
      </c>
      <c r="Q36" s="179" t="e">
        <f t="shared" si="4"/>
        <v>#N/A</v>
      </c>
    </row>
    <row r="37" spans="2:17" ht="15">
      <c r="B37" s="15">
        <f t="shared" si="2"/>
        <v>43950</v>
      </c>
      <c r="C37" s="154"/>
      <c r="D37" s="359"/>
      <c r="E37" s="268"/>
      <c r="F37" s="268"/>
      <c r="G37" s="269"/>
      <c r="H37" s="12">
        <f t="shared" si="0"/>
        <v>0</v>
      </c>
      <c r="I37" s="13">
        <f t="shared" si="1"/>
        <v>0</v>
      </c>
      <c r="J37" s="190"/>
      <c r="L37" s="287" t="str">
        <f>'08'!L37</f>
        <v>üK:</v>
      </c>
      <c r="M37" s="178">
        <f t="shared" si="3"/>
        <v>0</v>
      </c>
      <c r="N37" s="178">
        <f t="shared" si="3"/>
        <v>0</v>
      </c>
      <c r="O37" s="178" t="e">
        <f>NJ_CoursIE</f>
        <v>#N/A</v>
      </c>
      <c r="Q37" s="179" t="e">
        <f t="shared" si="4"/>
        <v>#N/A</v>
      </c>
    </row>
    <row r="38" spans="2:17" ht="15">
      <c r="B38" s="15">
        <f t="shared" si="2"/>
        <v>43951</v>
      </c>
      <c r="C38" s="154"/>
      <c r="D38" s="359"/>
      <c r="E38" s="268"/>
      <c r="F38" s="268"/>
      <c r="G38" s="269"/>
      <c r="H38" s="12">
        <f t="shared" si="0"/>
        <v>0</v>
      </c>
      <c r="I38" s="13">
        <f t="shared" si="1"/>
        <v>0</v>
      </c>
      <c r="J38" s="190"/>
      <c r="L38" s="287" t="str">
        <f>'08'!L38</f>
        <v>Militär:</v>
      </c>
      <c r="M38" s="178">
        <f t="shared" si="3"/>
        <v>0</v>
      </c>
      <c r="N38" s="178">
        <f t="shared" si="3"/>
        <v>0</v>
      </c>
      <c r="O38" s="178">
        <f>NJ_Bloc</f>
        <v>0</v>
      </c>
      <c r="Q38" s="179">
        <f t="shared" si="4"/>
        <v>0</v>
      </c>
    </row>
    <row r="39" spans="2:17" ht="15.75" thickBot="1">
      <c r="B39" s="57"/>
      <c r="C39" s="180"/>
      <c r="D39" s="360"/>
      <c r="E39" s="348"/>
      <c r="F39" s="348"/>
      <c r="G39" s="349"/>
      <c r="H39" s="181">
        <f t="shared" si="0"/>
        <v>0</v>
      </c>
      <c r="I39" s="181">
        <f t="shared" si="1"/>
        <v>0</v>
      </c>
      <c r="J39" s="191"/>
      <c r="L39" s="287" t="str">
        <f>'08'!L39</f>
        <v>Frei:</v>
      </c>
      <c r="M39" s="262">
        <f aca="true" t="shared" si="5" ref="M39:N42">H47</f>
        <v>0</v>
      </c>
      <c r="N39" s="262">
        <f t="shared" si="5"/>
        <v>0</v>
      </c>
      <c r="O39" s="262" t="e">
        <f>NJ_Conge</f>
        <v>#N/A</v>
      </c>
      <c r="Q39" s="263" t="e">
        <f t="shared" si="4"/>
        <v>#N/A</v>
      </c>
    </row>
    <row r="40" spans="2:17" ht="15.75" thickBot="1">
      <c r="B40" s="335" t="str">
        <f>'08'!B40</f>
        <v>Total</v>
      </c>
      <c r="C40" s="336">
        <f>COUNTIF(C9:C39,"a")+COUNTIF(C9:C39,"b")+COUNTIF(C9:C39,"c")+COUNTIF(C9:C39,"d")+COUNTIF(C9:C39,"e")+COUNTIF(C9:C39,"f")+COUNTIF(C9:C39,"g")+COUNTIF(C9:C39,"h")+COUNTIF(C9:C39,"i")</f>
        <v>0</v>
      </c>
      <c r="D40" s="17">
        <f aca="true" t="shared" si="6" ref="D40:I40">SUM(D9:D39)</f>
        <v>0</v>
      </c>
      <c r="E40" s="18">
        <f t="shared" si="6"/>
        <v>0</v>
      </c>
      <c r="F40" s="18">
        <f t="shared" si="6"/>
        <v>0</v>
      </c>
      <c r="G40" s="19">
        <f t="shared" si="6"/>
        <v>0</v>
      </c>
      <c r="H40" s="20">
        <f t="shared" si="6"/>
        <v>0</v>
      </c>
      <c r="I40" s="21">
        <f t="shared" si="6"/>
        <v>0</v>
      </c>
      <c r="J40" s="337" t="e">
        <f>INT(((Sa_NatureMensuel/H42*C40)*20)+0.5)/20</f>
        <v>#N/A</v>
      </c>
      <c r="L40" s="288" t="str">
        <f>'08'!L40</f>
        <v>Ferien:</v>
      </c>
      <c r="M40" s="289">
        <f t="shared" si="5"/>
        <v>0</v>
      </c>
      <c r="N40" s="289">
        <f t="shared" si="5"/>
        <v>0</v>
      </c>
      <c r="O40" s="289" t="e">
        <f>NJ_Vacances</f>
        <v>#N/A</v>
      </c>
      <c r="Q40" s="290" t="e">
        <f t="shared" si="4"/>
        <v>#N/A</v>
      </c>
    </row>
    <row r="41" spans="2:17" ht="15.75" thickBot="1">
      <c r="B41" s="452"/>
      <c r="C41" s="453"/>
      <c r="D41" s="453"/>
      <c r="E41" s="453"/>
      <c r="F41" s="453"/>
      <c r="G41" s="506"/>
      <c r="H41" s="286">
        <f>B3</f>
        <v>43922</v>
      </c>
      <c r="I41" s="22" t="str">
        <f>'08'!I41</f>
        <v>Total</v>
      </c>
      <c r="J41" s="23"/>
      <c r="L41" s="288" t="str">
        <f>'08'!L41</f>
        <v>Unfall:</v>
      </c>
      <c r="M41" s="289">
        <f t="shared" si="5"/>
        <v>0</v>
      </c>
      <c r="N41" s="289">
        <f t="shared" si="5"/>
        <v>0</v>
      </c>
      <c r="O41" s="289">
        <v>0</v>
      </c>
      <c r="Q41" s="290">
        <f t="shared" si="4"/>
        <v>0</v>
      </c>
    </row>
    <row r="42" spans="2:17" ht="15">
      <c r="B42" s="408" t="str">
        <f>'08'!B42</f>
        <v>Tagesabrechnung</v>
      </c>
      <c r="C42" s="409" t="e">
        <f>'08'!C42</f>
        <v>#N/A</v>
      </c>
      <c r="D42" s="409" t="e">
        <f>'08'!D42</f>
        <v>#REF!</v>
      </c>
      <c r="E42" s="409" t="e">
        <f>'08'!E42</f>
        <v>#REF!</v>
      </c>
      <c r="F42" s="409" t="e">
        <f>'08'!F42</f>
        <v>#REF!</v>
      </c>
      <c r="G42" s="410" t="e">
        <f>'08'!G42</f>
        <v>#REF!</v>
      </c>
      <c r="H42" s="24">
        <v>30</v>
      </c>
      <c r="I42" s="25">
        <f>SUM('03'!H42:I42)</f>
        <v>244</v>
      </c>
      <c r="J42" s="26"/>
      <c r="L42" s="287" t="str">
        <f>'08'!L42</f>
        <v>Krankheit:</v>
      </c>
      <c r="M42" s="178">
        <f t="shared" si="5"/>
        <v>0</v>
      </c>
      <c r="N42" s="178">
        <f t="shared" si="5"/>
        <v>0</v>
      </c>
      <c r="O42" s="178">
        <v>0</v>
      </c>
      <c r="Q42" s="179">
        <f t="shared" si="4"/>
        <v>0</v>
      </c>
    </row>
    <row r="43" spans="2:10" ht="15">
      <c r="B43" s="402" t="str">
        <f>'08'!B43</f>
        <v>Arbeitstage ( a )</v>
      </c>
      <c r="C43" s="403" t="e">
        <f>'08'!C43</f>
        <v>#N/A</v>
      </c>
      <c r="D43" s="403" t="e">
        <f>'08'!D43</f>
        <v>#REF!</v>
      </c>
      <c r="E43" s="403" t="e">
        <f>'08'!E43</f>
        <v>#REF!</v>
      </c>
      <c r="F43" s="403" t="e">
        <f>'08'!F43</f>
        <v>#REF!</v>
      </c>
      <c r="G43" s="404" t="e">
        <f>'08'!G43</f>
        <v>#REF!</v>
      </c>
      <c r="H43" s="27">
        <f>COUNTIF(C9:C39,"a")+COUNTIF(C9:C39,"f")/2</f>
        <v>0</v>
      </c>
      <c r="I43" s="28">
        <f>SUM('03'!H43:I43)</f>
        <v>0</v>
      </c>
      <c r="J43" s="29"/>
    </row>
    <row r="44" spans="2:17" ht="15">
      <c r="B44" s="402" t="str">
        <f>'08'!B44</f>
        <v>Schultage ( b )</v>
      </c>
      <c r="C44" s="403" t="e">
        <f>'08'!C44</f>
        <v>#N/A</v>
      </c>
      <c r="D44" s="403" t="e">
        <f>'08'!D44</f>
        <v>#REF!</v>
      </c>
      <c r="E44" s="403" t="e">
        <f>'08'!E44</f>
        <v>#REF!</v>
      </c>
      <c r="F44" s="403" t="e">
        <f>'08'!F44</f>
        <v>#REF!</v>
      </c>
      <c r="G44" s="404" t="e">
        <f>'08'!G44</f>
        <v>#REF!</v>
      </c>
      <c r="H44" s="27">
        <f>COUNTIF(C9:C39,"b")</f>
        <v>0</v>
      </c>
      <c r="I44" s="28">
        <f>SUM('03'!H44:I44)</f>
        <v>0</v>
      </c>
      <c r="J44" s="29"/>
      <c r="L44" s="38" t="str">
        <f>'08'!L44</f>
        <v>Bemerkungen:</v>
      </c>
      <c r="M44" s="513"/>
      <c r="N44" s="514"/>
      <c r="O44" s="514"/>
      <c r="P44" s="514"/>
      <c r="Q44" s="515"/>
    </row>
    <row r="45" spans="2:17" ht="15">
      <c r="B45" s="402" t="str">
        <f>'08'!B45</f>
        <v>überbetriebliche Kurse ( c )</v>
      </c>
      <c r="C45" s="403" t="e">
        <f>'08'!C45</f>
        <v>#N/A</v>
      </c>
      <c r="D45" s="403" t="e">
        <f>'08'!D45</f>
        <v>#REF!</v>
      </c>
      <c r="E45" s="403" t="e">
        <f>'08'!E45</f>
        <v>#REF!</v>
      </c>
      <c r="F45" s="403" t="e">
        <f>'08'!F45</f>
        <v>#REF!</v>
      </c>
      <c r="G45" s="404" t="e">
        <f>'08'!G45</f>
        <v>#REF!</v>
      </c>
      <c r="H45" s="27">
        <f>COUNTIF(C9:C39,"c")</f>
        <v>0</v>
      </c>
      <c r="I45" s="28">
        <f>SUM('03'!H45:I45)</f>
        <v>0</v>
      </c>
      <c r="J45" s="29"/>
      <c r="L45" s="34"/>
      <c r="M45" s="516"/>
      <c r="N45" s="517"/>
      <c r="O45" s="517"/>
      <c r="P45" s="517"/>
      <c r="Q45" s="518"/>
    </row>
    <row r="46" spans="2:17" ht="15">
      <c r="B46" s="402" t="str">
        <f>'08'!B46</f>
        <v>Militär ( i )</v>
      </c>
      <c r="C46" s="403" t="e">
        <f>'08'!C46</f>
        <v>#N/A</v>
      </c>
      <c r="D46" s="403" t="e">
        <f>'08'!D46</f>
        <v>#REF!</v>
      </c>
      <c r="E46" s="403" t="e">
        <f>'08'!E46</f>
        <v>#REF!</v>
      </c>
      <c r="F46" s="403" t="e">
        <f>'08'!F46</f>
        <v>#REF!</v>
      </c>
      <c r="G46" s="404" t="e">
        <f>'08'!G46</f>
        <v>#REF!</v>
      </c>
      <c r="H46" s="27">
        <f>COUNTIF(C9:C39,"i")</f>
        <v>0</v>
      </c>
      <c r="I46" s="28">
        <f>SUM('03'!H46:I46)</f>
        <v>0</v>
      </c>
      <c r="J46" s="29"/>
      <c r="L46" s="34"/>
      <c r="M46" s="519"/>
      <c r="N46" s="520"/>
      <c r="O46" s="520"/>
      <c r="P46" s="520"/>
      <c r="Q46" s="521"/>
    </row>
    <row r="47" spans="2:17" ht="15">
      <c r="B47" s="402" t="str">
        <f>'08'!B47</f>
        <v>Frei ( d )</v>
      </c>
      <c r="C47" s="403" t="e">
        <f>'08'!C47</f>
        <v>#N/A</v>
      </c>
      <c r="D47" s="403" t="e">
        <f>'08'!D47</f>
        <v>#REF!</v>
      </c>
      <c r="E47" s="403" t="e">
        <f>'08'!E47</f>
        <v>#REF!</v>
      </c>
      <c r="F47" s="403" t="e">
        <f>'08'!F47</f>
        <v>#REF!</v>
      </c>
      <c r="G47" s="404" t="e">
        <f>'08'!G47</f>
        <v>#REF!</v>
      </c>
      <c r="H47" s="27">
        <f>COUNTIF(C9:C39,"d")+COUNTIF(C9:C39,"f")/2</f>
        <v>0</v>
      </c>
      <c r="I47" s="28">
        <f>SUM('03'!H47:I47)</f>
        <v>0</v>
      </c>
      <c r="J47" s="29"/>
      <c r="L47" s="34"/>
      <c r="M47" s="34"/>
      <c r="N47" s="34"/>
      <c r="O47" s="38"/>
      <c r="P47" s="34"/>
      <c r="Q47" s="40"/>
    </row>
    <row r="48" spans="1:17" ht="15">
      <c r="A48" s="7">
        <v>289</v>
      </c>
      <c r="B48" s="402" t="str">
        <f>'08'!B48</f>
        <v>Ferien ( e )</v>
      </c>
      <c r="C48" s="403" t="e">
        <f>'08'!C48</f>
        <v>#N/A</v>
      </c>
      <c r="D48" s="403" t="e">
        <f>'08'!D48</f>
        <v>#REF!</v>
      </c>
      <c r="E48" s="403" t="e">
        <f>'08'!E48</f>
        <v>#REF!</v>
      </c>
      <c r="F48" s="403" t="e">
        <f>'08'!F48</f>
        <v>#REF!</v>
      </c>
      <c r="G48" s="404" t="e">
        <f>'08'!G48</f>
        <v>#REF!</v>
      </c>
      <c r="H48" s="27">
        <f>COUNTIF(C9:C39,"e")</f>
        <v>0</v>
      </c>
      <c r="I48" s="28">
        <f>SUM('03'!H48:I48)</f>
        <v>0</v>
      </c>
      <c r="J48" s="29"/>
      <c r="L48" s="38" t="str">
        <f>'08'!L48</f>
        <v>Datum</v>
      </c>
      <c r="M48" s="177"/>
      <c r="N48" s="34"/>
      <c r="O48" s="38" t="str">
        <f>'08'!O48</f>
        <v>Berufsbildner /in</v>
      </c>
      <c r="P48" s="54"/>
      <c r="Q48" s="55"/>
    </row>
    <row r="49" spans="1:17" ht="15">
      <c r="A49" s="7">
        <v>290</v>
      </c>
      <c r="B49" s="402" t="str">
        <f>'08'!B49</f>
        <v>Unfall ( g )</v>
      </c>
      <c r="C49" s="403" t="e">
        <f>'08'!C49</f>
        <v>#N/A</v>
      </c>
      <c r="D49" s="403" t="e">
        <f>'08'!D49</f>
        <v>#REF!</v>
      </c>
      <c r="E49" s="403" t="e">
        <f>'08'!E49</f>
        <v>#REF!</v>
      </c>
      <c r="F49" s="403" t="e">
        <f>'08'!F49</f>
        <v>#REF!</v>
      </c>
      <c r="G49" s="404" t="e">
        <f>'08'!G49</f>
        <v>#REF!</v>
      </c>
      <c r="H49" s="27">
        <f>COUNTIF(C9:C39,"g")</f>
        <v>0</v>
      </c>
      <c r="I49" s="28">
        <f>SUM('03'!H49:I49)</f>
        <v>0</v>
      </c>
      <c r="J49" s="29"/>
      <c r="L49" s="34"/>
      <c r="M49" s="34"/>
      <c r="N49" s="34"/>
      <c r="O49" s="38"/>
      <c r="P49" s="34"/>
      <c r="Q49" s="40"/>
    </row>
    <row r="50" spans="1:17" s="7" customFormat="1" ht="15.75" thickBot="1">
      <c r="A50" s="285">
        <v>291</v>
      </c>
      <c r="B50" s="383" t="str">
        <f>'08'!B50</f>
        <v>Krankheit ( h )</v>
      </c>
      <c r="C50" s="384" t="e">
        <f>'08'!C50</f>
        <v>#N/A</v>
      </c>
      <c r="D50" s="384" t="e">
        <f>'08'!D50</f>
        <v>#REF!</v>
      </c>
      <c r="E50" s="384" t="e">
        <f>'08'!E50</f>
        <v>#REF!</v>
      </c>
      <c r="F50" s="384" t="e">
        <f>'08'!F50</f>
        <v>#REF!</v>
      </c>
      <c r="G50" s="385" t="e">
        <f>'08'!G50</f>
        <v>#REF!</v>
      </c>
      <c r="H50" s="30">
        <f>COUNTIF(C9:C39,"h")</f>
        <v>0</v>
      </c>
      <c r="I50" s="31">
        <f>SUM('03'!H50:I50)</f>
        <v>0</v>
      </c>
      <c r="J50" s="32"/>
      <c r="L50" s="34"/>
      <c r="M50" s="35"/>
      <c r="N50" s="34"/>
      <c r="O50" s="38" t="str">
        <f>'08'!O50</f>
        <v>Lernende /r</v>
      </c>
      <c r="P50" s="54"/>
      <c r="Q50" s="55"/>
    </row>
    <row r="51" spans="12:17" ht="14.25">
      <c r="L51" s="34"/>
      <c r="M51" s="35"/>
      <c r="N51" s="34"/>
      <c r="O51" s="38"/>
      <c r="P51" s="54"/>
      <c r="Q51" s="55"/>
    </row>
  </sheetData>
  <sheetProtection password="83EF" sheet="1" objects="1" scenarios="1"/>
  <mergeCells count="37">
    <mergeCell ref="C2:J2"/>
    <mergeCell ref="B1:J1"/>
    <mergeCell ref="L1:Q1"/>
    <mergeCell ref="M3:N3"/>
    <mergeCell ref="O3:P3"/>
    <mergeCell ref="B3:B8"/>
    <mergeCell ref="C3:C8"/>
    <mergeCell ref="D3:D8"/>
    <mergeCell ref="E3:E8"/>
    <mergeCell ref="G3:G8"/>
    <mergeCell ref="H3:H8"/>
    <mergeCell ref="I3:I8"/>
    <mergeCell ref="F3:F8"/>
    <mergeCell ref="J3:J8"/>
    <mergeCell ref="M5:Q5"/>
    <mergeCell ref="M6:Q6"/>
    <mergeCell ref="M20:N20"/>
    <mergeCell ref="M27:N27"/>
    <mergeCell ref="M28:N28"/>
    <mergeCell ref="M7:Q7"/>
    <mergeCell ref="M8:N8"/>
    <mergeCell ref="M44:Q46"/>
    <mergeCell ref="Q33:Q34"/>
    <mergeCell ref="B46:G46"/>
    <mergeCell ref="B50:G50"/>
    <mergeCell ref="B43:G43"/>
    <mergeCell ref="B47:G47"/>
    <mergeCell ref="B44:G44"/>
    <mergeCell ref="B45:G45"/>
    <mergeCell ref="B48:G48"/>
    <mergeCell ref="B49:G49"/>
    <mergeCell ref="B41:G41"/>
    <mergeCell ref="B42:G42"/>
    <mergeCell ref="N33:N34"/>
    <mergeCell ref="M33:M34"/>
    <mergeCell ref="P33:P34"/>
    <mergeCell ref="O33:O34"/>
  </mergeCells>
  <conditionalFormatting sqref="C39:G39">
    <cfRule type="cellIs" priority="22" dxfId="8" operator="lessThan" stopIfTrue="1">
      <formula>0</formula>
    </cfRule>
    <cfRule type="cellIs" priority="23" dxfId="9" operator="greaterThan" stopIfTrue="1">
      <formula>0</formula>
    </cfRule>
    <cfRule type="expression" priority="24" dxfId="7" stopIfTrue="1">
      <formula>B39&lt;&gt;""</formula>
    </cfRule>
  </conditionalFormatting>
  <conditionalFormatting sqref="E9:E38">
    <cfRule type="cellIs" priority="38" dxfId="9" operator="lessThan" stopIfTrue="1">
      <formula>0</formula>
    </cfRule>
    <cfRule type="cellIs" priority="39" dxfId="8" operator="greaterThan" stopIfTrue="1">
      <formula>0</formula>
    </cfRule>
    <cfRule type="expression" priority="40" dxfId="7" stopIfTrue="1">
      <formula>OR(C9="a",C9="b",C9="c")</formula>
    </cfRule>
  </conditionalFormatting>
  <conditionalFormatting sqref="F9:F38">
    <cfRule type="cellIs" priority="41" dxfId="9" operator="lessThan" stopIfTrue="1">
      <formula>0</formula>
    </cfRule>
    <cfRule type="cellIs" priority="42" dxfId="8" operator="greaterThan" stopIfTrue="1">
      <formula>0</formula>
    </cfRule>
    <cfRule type="expression" priority="43" dxfId="7" stopIfTrue="1">
      <formula>OR(C9="a")</formula>
    </cfRule>
  </conditionalFormatting>
  <conditionalFormatting sqref="G9:G38">
    <cfRule type="cellIs" priority="44" dxfId="9" operator="lessThan" stopIfTrue="1">
      <formula>0</formula>
    </cfRule>
    <cfRule type="cellIs" priority="45" dxfId="8" operator="greaterThan" stopIfTrue="1">
      <formula>0</formula>
    </cfRule>
    <cfRule type="expression" priority="46" dxfId="7" stopIfTrue="1">
      <formula>OR(C9="a",C9="b",C9="c")</formula>
    </cfRule>
  </conditionalFormatting>
  <conditionalFormatting sqref="B9:B39">
    <cfRule type="expression" priority="31" dxfId="0" stopIfTrue="1">
      <formula>WEEKDAY(B9)=1</formula>
    </cfRule>
  </conditionalFormatting>
  <conditionalFormatting sqref="C9:C38">
    <cfRule type="expression" priority="48" dxfId="2" stopIfTrue="1">
      <formula>AND(C9&lt;&gt;"",C9&lt;&gt;"a",C9&lt;&gt;"b",C9&lt;&gt;"c",C9&lt;&gt;"d",C9&lt;&gt;"e",C9&lt;&gt;"f",C9&lt;&gt;"g",C9&lt;&gt;"h",C9&lt;&gt;"i")</formula>
    </cfRule>
  </conditionalFormatting>
  <conditionalFormatting sqref="D9:D38">
    <cfRule type="cellIs" priority="49" dxfId="9" operator="lessThan" stopIfTrue="1">
      <formula>0</formula>
    </cfRule>
    <cfRule type="cellIs" priority="50" dxfId="8" operator="greaterThan" stopIfTrue="1">
      <formula>0</formula>
    </cfRule>
    <cfRule type="expression" priority="51" dxfId="7" stopIfTrue="1">
      <formula>AND(C9&lt;&gt;"",OR(PN_LogisOuiNon=1,AND(PN_LogisOuiNon=2,C9&lt;&gt;"i")))</formula>
    </cfRule>
  </conditionalFormatting>
  <conditionalFormatting sqref="D9:D38">
    <cfRule type="cellIs" priority="19" dxfId="9" operator="lessThan" stopIfTrue="1">
      <formula>0</formula>
    </cfRule>
    <cfRule type="cellIs" priority="20" dxfId="8" operator="greaterThan" stopIfTrue="1">
      <formula>0</formula>
    </cfRule>
    <cfRule type="expression" priority="21" dxfId="7" stopIfTrue="1">
      <formula>AND(C9&lt;&gt;"",C9&lt;&gt;"i")</formula>
    </cfRule>
  </conditionalFormatting>
  <conditionalFormatting sqref="D9:D38">
    <cfRule type="cellIs" priority="16" dxfId="9" operator="lessThan" stopIfTrue="1">
      <formula>0</formula>
    </cfRule>
    <cfRule type="cellIs" priority="17" dxfId="8" operator="greaterThan" stopIfTrue="1">
      <formula>0</formula>
    </cfRule>
    <cfRule type="expression" priority="18" dxfId="7" stopIfTrue="1">
      <formula>AND(C9&lt;&gt;"",C9&lt;&gt;"i")</formula>
    </cfRule>
  </conditionalFormatting>
  <conditionalFormatting sqref="D9:D38">
    <cfRule type="cellIs" priority="13" dxfId="9" operator="lessThan" stopIfTrue="1">
      <formula>0</formula>
    </cfRule>
    <cfRule type="cellIs" priority="14" dxfId="8" operator="greaterThan" stopIfTrue="1">
      <formula>0</formula>
    </cfRule>
    <cfRule type="expression" priority="15" dxfId="7" stopIfTrue="1">
      <formula>AND(C9&lt;&gt;"",OR(PN_LogisOuiNon=1,AND(PN_LogisOuiNon=2,C9&lt;&gt;"i")))</formula>
    </cfRule>
  </conditionalFormatting>
  <conditionalFormatting sqref="D9:D38">
    <cfRule type="cellIs" priority="10" dxfId="9" operator="lessThan" stopIfTrue="1">
      <formula>0</formula>
    </cfRule>
    <cfRule type="cellIs" priority="11" dxfId="8" operator="greaterThan" stopIfTrue="1">
      <formula>0</formula>
    </cfRule>
    <cfRule type="expression" priority="12" dxfId="7" stopIfTrue="1">
      <formula>AND(C9&lt;&gt;"",C9&lt;&gt;"i")</formula>
    </cfRule>
  </conditionalFormatting>
  <conditionalFormatting sqref="D9:D38">
    <cfRule type="cellIs" priority="7" dxfId="9" operator="lessThan" stopIfTrue="1">
      <formula>0</formula>
    </cfRule>
    <cfRule type="cellIs" priority="8" dxfId="8" operator="greaterThan" stopIfTrue="1">
      <formula>0</formula>
    </cfRule>
    <cfRule type="expression" priority="9" dxfId="7" stopIfTrue="1">
      <formula>AND(C9&lt;&gt;"",OR(PN_LogisOuiNon=1,AND(PN_LogisOuiNon=2,C9&lt;&gt;"i")))</formula>
    </cfRule>
  </conditionalFormatting>
  <conditionalFormatting sqref="D9:D38">
    <cfRule type="cellIs" priority="4" dxfId="9" operator="lessThan" stopIfTrue="1">
      <formula>0</formula>
    </cfRule>
    <cfRule type="cellIs" priority="5" dxfId="8" operator="greaterThan" stopIfTrue="1">
      <formula>0</formula>
    </cfRule>
    <cfRule type="expression" priority="6" dxfId="7" stopIfTrue="1">
      <formula>AND(C9&lt;&gt;"",OR(PN_LogisOuiNon=1,AND(PN_LogisOuiNon=2,C9&lt;&gt;"j")))</formula>
    </cfRule>
  </conditionalFormatting>
  <conditionalFormatting sqref="H9:H38">
    <cfRule type="expression" priority="1" dxfId="6" stopIfTrue="1">
      <formula>C9="a"</formula>
    </cfRule>
    <cfRule type="expression" priority="2" dxfId="5" stopIfTrue="1">
      <formula>OR(C9="b",C9="c")</formula>
    </cfRule>
    <cfRule type="expression" priority="3" dxfId="0" stopIfTrue="1">
      <formula>OR(C9="d",C9="e")</formula>
    </cfRule>
  </conditionalFormatting>
  <hyperlinks>
    <hyperlink ref="C3:C8" location="Help_Code" display="Help_Code"/>
  </hyperlinks>
  <printOptions horizontalCentered="1" verticalCentered="1"/>
  <pageMargins left="0.3937007874015748" right="0.3937007874015748" top="0.5905511811023623" bottom="0.3937007874015748" header="0.5118110236220472" footer="0.31496062992125984"/>
  <pageSetup horizontalDpi="600" verticalDpi="600" orientation="portrait" paperSize="9" r:id="rId1"/>
  <headerFooter alignWithMargins="0">
    <oddFooter>&amp;L&amp;A&amp;RPage &amp;P</oddFooter>
  </headerFooter>
</worksheet>
</file>

<file path=xl/worksheets/sheet12.xml><?xml version="1.0" encoding="utf-8"?>
<worksheet xmlns="http://schemas.openxmlformats.org/spreadsheetml/2006/main" xmlns:r="http://schemas.openxmlformats.org/officeDocument/2006/relationships">
  <sheetPr codeName="Sheet13"/>
  <dimension ref="A1:Q51"/>
  <sheetViews>
    <sheetView zoomScalePageLayoutView="0" workbookViewId="0" topLeftCell="B1">
      <pane xSplit="1" ySplit="8" topLeftCell="C9" activePane="bottomRight" state="frozen"/>
      <selection pane="topLeft" activeCell="C9" sqref="C9"/>
      <selection pane="topRight" activeCell="C9" sqref="C9"/>
      <selection pane="bottomLeft" activeCell="C9" sqref="C9"/>
      <selection pane="bottomRight" activeCell="N19" sqref="N19"/>
    </sheetView>
  </sheetViews>
  <sheetFormatPr defaultColWidth="9.140625" defaultRowHeight="12.75"/>
  <cols>
    <col min="1" max="1" width="4.7109375" style="7" hidden="1" customWidth="1"/>
    <col min="2" max="2" width="14.7109375" style="7" customWidth="1"/>
    <col min="3" max="7" width="3.7109375" style="7" customWidth="1"/>
    <col min="8" max="9" width="8.7109375" style="8" customWidth="1"/>
    <col min="10" max="10" width="38.7109375" style="7" customWidth="1"/>
    <col min="11" max="11" width="2.7109375" style="7" hidden="1" customWidth="1"/>
    <col min="12" max="12" width="27.421875" style="9" customWidth="1"/>
    <col min="13" max="13" width="12.140625" style="9" customWidth="1"/>
    <col min="14" max="14" width="12.7109375" style="9" customWidth="1"/>
    <col min="15" max="15" width="12.7109375" style="33" customWidth="1"/>
    <col min="16" max="16" width="11.00390625" style="9" customWidth="1"/>
    <col min="17" max="17" width="12.7109375" style="9" customWidth="1"/>
    <col min="18" max="16384" width="9.140625" style="2" customWidth="1"/>
  </cols>
  <sheetData>
    <row r="1" spans="1:17" ht="17.25" thickBot="1">
      <c r="A1" s="10"/>
      <c r="B1" s="430" t="str">
        <f>'08'!B1</f>
        <v>Agenda</v>
      </c>
      <c r="C1" s="431"/>
      <c r="D1" s="431"/>
      <c r="E1" s="431"/>
      <c r="F1" s="431"/>
      <c r="G1" s="431"/>
      <c r="H1" s="431"/>
      <c r="I1" s="431"/>
      <c r="J1" s="432"/>
      <c r="K1" s="10"/>
      <c r="L1" s="433" t="str">
        <f>'08'!L1</f>
        <v>Monatliche Lohnabrechnung</v>
      </c>
      <c r="M1" s="434"/>
      <c r="N1" s="434"/>
      <c r="O1" s="434"/>
      <c r="P1" s="434"/>
      <c r="Q1" s="435"/>
    </row>
    <row r="2" spans="1:17" ht="17.25" thickBot="1">
      <c r="A2" s="10"/>
      <c r="B2" s="175" t="str">
        <f>'08'!B2</f>
        <v>Lerndende / r</v>
      </c>
      <c r="C2" s="495" t="str">
        <f>"- "&amp;TRIM(DB_Apprenti)&amp;" -"</f>
        <v>-  -</v>
      </c>
      <c r="D2" s="495"/>
      <c r="E2" s="495"/>
      <c r="F2" s="495"/>
      <c r="G2" s="495"/>
      <c r="H2" s="495"/>
      <c r="I2" s="495"/>
      <c r="J2" s="496"/>
      <c r="K2" s="10"/>
      <c r="L2" s="152"/>
      <c r="M2" s="152"/>
      <c r="N2" s="152"/>
      <c r="O2" s="152"/>
      <c r="P2" s="152"/>
      <c r="Q2" s="152"/>
    </row>
    <row r="3" spans="2:17" ht="15" customHeight="1">
      <c r="B3" s="438">
        <f>DATE(DB_Annee+1,5,1)</f>
        <v>43952</v>
      </c>
      <c r="C3" s="507" t="str">
        <f>'08'!C3</f>
        <v>[ a-b-c-d-e-f-g-h-i ]</v>
      </c>
      <c r="D3" s="444" t="str">
        <f>'08'!D3</f>
        <v>Übernachtung</v>
      </c>
      <c r="E3" s="447" t="str">
        <f>'08'!E3</f>
        <v>Morgenessen</v>
      </c>
      <c r="F3" s="447" t="str">
        <f>'08'!F3</f>
        <v>Mittagessen</v>
      </c>
      <c r="G3" s="413" t="str">
        <f>'08'!G3</f>
        <v>Abendessen</v>
      </c>
      <c r="H3" s="418" t="str">
        <f>'08'!H3</f>
        <v>Betrag Naturallohn</v>
      </c>
      <c r="I3" s="522" t="str">
        <f>'08'!I3</f>
        <v>Angepasster Betrag</v>
      </c>
      <c r="J3" s="503" t="str">
        <f>'08'!J3</f>
        <v>Kommentar
a = Arbeitstag
b = Schultag
c = überbetrieblicher Kurs (üK)
d = Freitag
e = Ferientag
f = 1/2 Arbeitstag, 1/2 Freitag
g = Unfall (ganz Tag)
h = Krankheit (ganz Tag)
i = Miltär</v>
      </c>
      <c r="L3" s="36" t="str">
        <f>'08'!L3</f>
        <v>Monat:</v>
      </c>
      <c r="M3" s="436">
        <f>B3</f>
        <v>43952</v>
      </c>
      <c r="N3" s="436"/>
      <c r="O3" s="437" t="str">
        <f>'08'!O3</f>
        <v>Jahr:</v>
      </c>
      <c r="P3" s="437">
        <f>'08'!P3</f>
        <v>0</v>
      </c>
      <c r="Q3" s="176">
        <f>B3</f>
        <v>43952</v>
      </c>
    </row>
    <row r="4" spans="1:17" ht="15">
      <c r="A4" s="10"/>
      <c r="B4" s="439"/>
      <c r="C4" s="508">
        <f>'08'!C4</f>
        <v>0</v>
      </c>
      <c r="D4" s="445">
        <f>'08'!D4</f>
        <v>0</v>
      </c>
      <c r="E4" s="448">
        <f>'08'!E4</f>
        <v>0</v>
      </c>
      <c r="F4" s="448">
        <f>'08'!F4</f>
        <v>0</v>
      </c>
      <c r="G4" s="414">
        <f>'08'!G4</f>
        <v>0</v>
      </c>
      <c r="H4" s="419">
        <f>'08'!H4</f>
        <v>0</v>
      </c>
      <c r="I4" s="523">
        <f>'08'!I4</f>
        <v>0</v>
      </c>
      <c r="J4" s="524">
        <f>'08'!J4</f>
        <v>0</v>
      </c>
      <c r="K4" s="10"/>
      <c r="L4" s="34"/>
      <c r="M4" s="34"/>
      <c r="N4" s="37"/>
      <c r="O4" s="36"/>
      <c r="P4" s="11"/>
      <c r="Q4" s="11"/>
    </row>
    <row r="5" spans="1:17" ht="15">
      <c r="A5" s="10"/>
      <c r="B5" s="439"/>
      <c r="C5" s="508">
        <f>'08'!C5</f>
        <v>0</v>
      </c>
      <c r="D5" s="445">
        <f>'08'!D5</f>
        <v>0</v>
      </c>
      <c r="E5" s="448">
        <f>'08'!E5</f>
        <v>0</v>
      </c>
      <c r="F5" s="448">
        <f>'08'!F5</f>
        <v>0</v>
      </c>
      <c r="G5" s="414">
        <f>'08'!G5</f>
        <v>0</v>
      </c>
      <c r="H5" s="419">
        <f>'08'!H5</f>
        <v>0</v>
      </c>
      <c r="I5" s="523">
        <f>'08'!I5</f>
        <v>0</v>
      </c>
      <c r="J5" s="524">
        <f>'08'!J5</f>
        <v>0</v>
      </c>
      <c r="K5" s="10"/>
      <c r="L5" s="36" t="str">
        <f>'08'!L5</f>
        <v>Berufsbildner</v>
      </c>
      <c r="M5" s="416">
        <f>TRIM(DB_Maitre)</f>
      </c>
      <c r="N5" s="416"/>
      <c r="O5" s="416"/>
      <c r="P5" s="416"/>
      <c r="Q5" s="416"/>
    </row>
    <row r="6" spans="1:17" ht="15">
      <c r="A6" s="10"/>
      <c r="B6" s="439"/>
      <c r="C6" s="508">
        <f>'08'!C6</f>
        <v>0</v>
      </c>
      <c r="D6" s="445">
        <f>'08'!D6</f>
        <v>0</v>
      </c>
      <c r="E6" s="448">
        <f>'08'!E6</f>
        <v>0</v>
      </c>
      <c r="F6" s="448">
        <f>'08'!F6</f>
        <v>0</v>
      </c>
      <c r="G6" s="414">
        <f>'08'!G6</f>
        <v>0</v>
      </c>
      <c r="H6" s="419">
        <f>'08'!H6</f>
        <v>0</v>
      </c>
      <c r="I6" s="523">
        <f>'08'!I6</f>
        <v>0</v>
      </c>
      <c r="J6" s="524">
        <f>'08'!J6</f>
        <v>0</v>
      </c>
      <c r="K6" s="10"/>
      <c r="L6" s="36" t="str">
        <f>'08'!L6</f>
        <v>Ort</v>
      </c>
      <c r="M6" s="417">
        <f>TRIM(DB_MaitreLieu)</f>
      </c>
      <c r="N6" s="417"/>
      <c r="O6" s="417"/>
      <c r="P6" s="417"/>
      <c r="Q6" s="417"/>
    </row>
    <row r="7" spans="1:17" ht="15">
      <c r="A7" s="10"/>
      <c r="B7" s="439"/>
      <c r="C7" s="508">
        <f>'08'!C7</f>
        <v>0</v>
      </c>
      <c r="D7" s="445">
        <f>'08'!D7</f>
        <v>0</v>
      </c>
      <c r="E7" s="448">
        <f>'08'!E7</f>
        <v>0</v>
      </c>
      <c r="F7" s="448">
        <f>'08'!F7</f>
        <v>0</v>
      </c>
      <c r="G7" s="414">
        <f>'08'!G7</f>
        <v>0</v>
      </c>
      <c r="H7" s="419">
        <f>'08'!H7</f>
        <v>0</v>
      </c>
      <c r="I7" s="523">
        <f>'08'!I7</f>
        <v>0</v>
      </c>
      <c r="J7" s="524">
        <f>'08'!J7</f>
        <v>0</v>
      </c>
      <c r="K7" s="10"/>
      <c r="L7" s="36" t="str">
        <f>'08'!L7</f>
        <v>Lernende / r</v>
      </c>
      <c r="M7" s="417">
        <f>TRIM(DB_Apprenti)</f>
      </c>
      <c r="N7" s="417"/>
      <c r="O7" s="417"/>
      <c r="P7" s="417"/>
      <c r="Q7" s="417"/>
    </row>
    <row r="8" spans="2:17" ht="15.75" thickBot="1">
      <c r="B8" s="440"/>
      <c r="C8" s="509">
        <f>'08'!C8</f>
        <v>0</v>
      </c>
      <c r="D8" s="446">
        <f>'08'!D8</f>
        <v>0</v>
      </c>
      <c r="E8" s="449">
        <f>'08'!E8</f>
        <v>0</v>
      </c>
      <c r="F8" s="449">
        <f>'08'!F8</f>
        <v>0</v>
      </c>
      <c r="G8" s="415">
        <f>'08'!G8</f>
        <v>0</v>
      </c>
      <c r="H8" s="420">
        <f>'08'!H8</f>
        <v>0</v>
      </c>
      <c r="I8" s="423">
        <f>'08'!I8</f>
        <v>0</v>
      </c>
      <c r="J8" s="525">
        <f>'08'!J8</f>
        <v>0</v>
      </c>
      <c r="L8" s="36" t="str">
        <f>'08'!L8</f>
        <v>AHV-Nummer</v>
      </c>
      <c r="M8" s="417">
        <f>TRIM(DB_AVS)</f>
      </c>
      <c r="N8" s="417"/>
      <c r="P8" s="3" t="str">
        <f>'08'!P8</f>
        <v>Geburtsdatum</v>
      </c>
      <c r="Q8" s="42">
        <f>IF(DB_DateNaissance=0,"",DB_DateNaissance)</f>
      </c>
    </row>
    <row r="9" spans="2:11" ht="15">
      <c r="B9" s="87">
        <f>B3</f>
        <v>43952</v>
      </c>
      <c r="C9" s="154"/>
      <c r="D9" s="359"/>
      <c r="E9" s="268"/>
      <c r="F9" s="268"/>
      <c r="G9" s="269"/>
      <c r="H9" s="12">
        <f aca="true" t="shared" si="0" ref="H9:H39">MAX(IF(C9="a",PN_Travail,IF(C9="b",PN_CoursProf,IF(C9="c",PN_CoursIE,IF(C9="d",PN_Conge,0)))),IF(C9="e",PN_Vacances,IF(C9="f",PN_DemiJour,IF(C9="g",PN_Accident,IF(C9="h",PN_Maladie,IF(C9="i",PN_Armee,0))))))</f>
        <v>0</v>
      </c>
      <c r="I9" s="13">
        <f aca="true" t="shared" si="1" ref="I9:I39">H9+D9*PN_Logis_Plus+E9*PN_Dejeuner_Plus+F9*PN_Diner_Plus+G9*PN_Souper_Plus</f>
        <v>0</v>
      </c>
      <c r="J9" s="161"/>
      <c r="K9" s="14"/>
    </row>
    <row r="10" spans="2:10" ht="15">
      <c r="B10" s="15">
        <f>B9+1</f>
        <v>43953</v>
      </c>
      <c r="C10" s="154"/>
      <c r="D10" s="359"/>
      <c r="E10" s="268"/>
      <c r="F10" s="268"/>
      <c r="G10" s="269"/>
      <c r="H10" s="12">
        <f t="shared" si="0"/>
        <v>0</v>
      </c>
      <c r="I10" s="13">
        <f t="shared" si="1"/>
        <v>0</v>
      </c>
      <c r="J10" s="190"/>
    </row>
    <row r="11" spans="1:17" ht="15">
      <c r="A11" s="163">
        <v>230</v>
      </c>
      <c r="B11" s="15">
        <f aca="true" t="shared" si="2" ref="B11:B39">B10+1</f>
        <v>43954</v>
      </c>
      <c r="C11" s="154"/>
      <c r="D11" s="359"/>
      <c r="E11" s="268"/>
      <c r="F11" s="268"/>
      <c r="G11" s="269"/>
      <c r="H11" s="12">
        <f t="shared" si="0"/>
        <v>0</v>
      </c>
      <c r="I11" s="13">
        <f t="shared" si="1"/>
        <v>0</v>
      </c>
      <c r="J11" s="190"/>
      <c r="L11" s="39" t="str">
        <f>'08'!L11</f>
        <v>Bruttolohn  </v>
      </c>
      <c r="M11" s="34" t="e">
        <f>IF(PN_EffMoy=0,SUBSTITUTE(VLOOKUP(A11+1,Tb_Traduction,DB_Langue,FALSE),"***",TEXT(J40,"0.00")),"")</f>
        <v>#N/A</v>
      </c>
      <c r="N11" s="34"/>
      <c r="O11" s="38"/>
      <c r="P11" s="45"/>
      <c r="Q11" s="49" t="e">
        <f>IF(OR(PN_EffMoy=0,Nb_Mois&lt;&gt;12),Sa_BaseMensuelArrondi/H42*C40,Sa_BaseMensuelArrondi)</f>
        <v>#N/A</v>
      </c>
    </row>
    <row r="12" spans="2:17" ht="15">
      <c r="B12" s="15">
        <f t="shared" si="2"/>
        <v>43955</v>
      </c>
      <c r="C12" s="154"/>
      <c r="D12" s="359"/>
      <c r="E12" s="268"/>
      <c r="F12" s="268"/>
      <c r="G12" s="269"/>
      <c r="H12" s="12">
        <f t="shared" si="0"/>
        <v>0</v>
      </c>
      <c r="I12" s="13">
        <f t="shared" si="1"/>
        <v>0</v>
      </c>
      <c r="J12" s="190"/>
      <c r="L12" s="9" t="str">
        <f>'08'!L12</f>
        <v>Prämie, Bonus, Gratifikation</v>
      </c>
      <c r="Q12" s="155"/>
    </row>
    <row r="13" spans="2:17" ht="15">
      <c r="B13" s="15">
        <f t="shared" si="2"/>
        <v>43956</v>
      </c>
      <c r="C13" s="154"/>
      <c r="D13" s="359"/>
      <c r="E13" s="268"/>
      <c r="F13" s="268"/>
      <c r="G13" s="269"/>
      <c r="H13" s="12">
        <f t="shared" si="0"/>
        <v>0</v>
      </c>
      <c r="I13" s="13">
        <f t="shared" si="1"/>
        <v>0</v>
      </c>
      <c r="J13" s="190"/>
      <c r="L13" s="88" t="str">
        <f>'08'!L13</f>
        <v>Bruttolohn total</v>
      </c>
      <c r="Q13" s="89" t="e">
        <f>SUM(Q11:Q12)</f>
        <v>#N/A</v>
      </c>
    </row>
    <row r="14" spans="2:10" ht="15">
      <c r="B14" s="15">
        <f t="shared" si="2"/>
        <v>43957</v>
      </c>
      <c r="C14" s="154"/>
      <c r="D14" s="359"/>
      <c r="E14" s="268"/>
      <c r="F14" s="268"/>
      <c r="G14" s="269"/>
      <c r="H14" s="12">
        <f t="shared" si="0"/>
        <v>0</v>
      </c>
      <c r="I14" s="13">
        <f t="shared" si="1"/>
        <v>0</v>
      </c>
      <c r="J14" s="190"/>
    </row>
    <row r="15" spans="2:17" ht="15">
      <c r="B15" s="15">
        <f t="shared" si="2"/>
        <v>43958</v>
      </c>
      <c r="C15" s="154"/>
      <c r="D15" s="359"/>
      <c r="E15" s="268"/>
      <c r="F15" s="268"/>
      <c r="G15" s="269"/>
      <c r="H15" s="12">
        <f t="shared" si="0"/>
        <v>0</v>
      </c>
      <c r="I15" s="13">
        <f t="shared" si="1"/>
        <v>0</v>
      </c>
      <c r="J15" s="190"/>
      <c r="L15" s="39" t="str">
        <f>'08'!L15</f>
        <v>Abzüge</v>
      </c>
      <c r="M15" s="11" t="str">
        <f>'08'!M15</f>
        <v>Anteil</v>
      </c>
      <c r="N15" s="11" t="s">
        <v>37</v>
      </c>
      <c r="O15" s="38"/>
      <c r="P15" s="45"/>
      <c r="Q15" s="46"/>
    </row>
    <row r="16" spans="2:17" ht="15">
      <c r="B16" s="15">
        <f t="shared" si="2"/>
        <v>43959</v>
      </c>
      <c r="C16" s="154"/>
      <c r="D16" s="359"/>
      <c r="E16" s="268"/>
      <c r="F16" s="268"/>
      <c r="G16" s="269"/>
      <c r="H16" s="12">
        <f t="shared" si="0"/>
        <v>0</v>
      </c>
      <c r="I16" s="13">
        <f t="shared" si="1"/>
        <v>0</v>
      </c>
      <c r="J16" s="190"/>
      <c r="L16" s="48" t="str">
        <f>'08'!L16</f>
        <v>Beiträge AHV, IV, EO*:</v>
      </c>
      <c r="M16" s="43" t="s">
        <v>50</v>
      </c>
      <c r="N16" s="44">
        <f>IF(B3&gt;=DB_SoumisAVS,RS_AVS_Plus,0)</f>
        <v>0.05125</v>
      </c>
      <c r="O16" s="38"/>
      <c r="P16" s="50" t="e">
        <f>$Q$13*N16</f>
        <v>#N/A</v>
      </c>
      <c r="Q16" s="46"/>
    </row>
    <row r="17" spans="2:17" ht="15">
      <c r="B17" s="15">
        <f t="shared" si="2"/>
        <v>43960</v>
      </c>
      <c r="C17" s="154"/>
      <c r="D17" s="359"/>
      <c r="E17" s="268"/>
      <c r="F17" s="268"/>
      <c r="G17" s="269"/>
      <c r="H17" s="12">
        <f t="shared" si="0"/>
        <v>0</v>
      </c>
      <c r="I17" s="13">
        <f t="shared" si="1"/>
        <v>0</v>
      </c>
      <c r="J17" s="190"/>
      <c r="L17" s="48" t="str">
        <f>'08'!L17</f>
        <v>Beiträge ALV*:</v>
      </c>
      <c r="M17" s="43" t="s">
        <v>50</v>
      </c>
      <c r="N17" s="44">
        <f>IF(B3&gt;=DB_SoumisAVS,RS_AC_Plus,0)</f>
        <v>0.011</v>
      </c>
      <c r="O17" s="38"/>
      <c r="P17" s="50" t="e">
        <f>$Q$13*N17</f>
        <v>#N/A</v>
      </c>
      <c r="Q17" s="46"/>
    </row>
    <row r="18" spans="2:17" ht="15">
      <c r="B18" s="15">
        <f t="shared" si="2"/>
        <v>43961</v>
      </c>
      <c r="C18" s="154"/>
      <c r="D18" s="359"/>
      <c r="E18" s="268"/>
      <c r="F18" s="268"/>
      <c r="G18" s="269"/>
      <c r="H18" s="12">
        <f t="shared" si="0"/>
        <v>0</v>
      </c>
      <c r="I18" s="13">
        <f t="shared" si="1"/>
        <v>0</v>
      </c>
      <c r="J18" s="190"/>
      <c r="L18" s="48" t="str">
        <f>'08'!L18</f>
        <v>Nichtbetriebsunfall:</v>
      </c>
      <c r="M18" s="43" t="s">
        <v>244</v>
      </c>
      <c r="N18" s="44">
        <f>RS_ANP_Plus</f>
        <v>0.01641</v>
      </c>
      <c r="O18" s="38"/>
      <c r="P18" s="51" t="e">
        <f>$Q$13*N18</f>
        <v>#N/A</v>
      </c>
      <c r="Q18" s="46"/>
    </row>
    <row r="19" spans="2:17" ht="15">
      <c r="B19" s="15">
        <f t="shared" si="2"/>
        <v>43962</v>
      </c>
      <c r="C19" s="154"/>
      <c r="D19" s="359"/>
      <c r="E19" s="268"/>
      <c r="F19" s="268"/>
      <c r="G19" s="269"/>
      <c r="H19" s="12">
        <f t="shared" si="0"/>
        <v>0</v>
      </c>
      <c r="I19" s="13">
        <f t="shared" si="1"/>
        <v>0</v>
      </c>
      <c r="J19" s="190"/>
      <c r="L19" s="48" t="str">
        <f>'08'!L19</f>
        <v>Krankentaggeld:</v>
      </c>
      <c r="M19" s="43" t="s">
        <v>50</v>
      </c>
      <c r="N19" s="44">
        <f>RS_MC_Plus</f>
        <v>0.0044</v>
      </c>
      <c r="O19" s="38"/>
      <c r="P19" s="50" t="e">
        <f>$Q$13*N19</f>
        <v>#N/A</v>
      </c>
      <c r="Q19" s="46"/>
    </row>
    <row r="20" spans="2:16" ht="15">
      <c r="B20" s="15">
        <f t="shared" si="2"/>
        <v>43963</v>
      </c>
      <c r="C20" s="154"/>
      <c r="D20" s="359"/>
      <c r="E20" s="268"/>
      <c r="F20" s="268"/>
      <c r="G20" s="269"/>
      <c r="H20" s="12">
        <f t="shared" si="0"/>
        <v>0</v>
      </c>
      <c r="I20" s="13">
        <f t="shared" si="1"/>
        <v>0</v>
      </c>
      <c r="J20" s="190"/>
      <c r="L20" s="48" t="str">
        <f>'08'!L20</f>
        <v>Anderer Abzug:</v>
      </c>
      <c r="M20" s="511"/>
      <c r="N20" s="511"/>
      <c r="O20" s="38"/>
      <c r="P20" s="160"/>
    </row>
    <row r="21" spans="2:16" ht="15">
      <c r="B21" s="15">
        <f t="shared" si="2"/>
        <v>43964</v>
      </c>
      <c r="C21" s="154"/>
      <c r="D21" s="359"/>
      <c r="E21" s="268"/>
      <c r="F21" s="268"/>
      <c r="G21" s="269"/>
      <c r="H21" s="12">
        <f t="shared" si="0"/>
        <v>0</v>
      </c>
      <c r="I21" s="13">
        <f t="shared" si="1"/>
        <v>0</v>
      </c>
      <c r="J21" s="190"/>
      <c r="L21" s="38" t="e">
        <f>'08'!L21</f>
        <v>#N/A</v>
      </c>
      <c r="M21" s="34"/>
      <c r="N21" s="34"/>
      <c r="O21" s="38"/>
      <c r="P21" s="50" t="e">
        <f>IF(PN_EffMoy=0,I40,IF(Nb_Mois=12,Sa_NatureMensuelArrondi,Sa_NatureMensuelArrondi*C40/H42))</f>
        <v>#N/A</v>
      </c>
    </row>
    <row r="22" spans="2:16" ht="15">
      <c r="B22" s="15">
        <f t="shared" si="2"/>
        <v>43965</v>
      </c>
      <c r="C22" s="154"/>
      <c r="D22" s="359"/>
      <c r="E22" s="268"/>
      <c r="F22" s="268"/>
      <c r="G22" s="269"/>
      <c r="H22" s="12">
        <f t="shared" si="0"/>
        <v>0</v>
      </c>
      <c r="I22" s="13">
        <f t="shared" si="1"/>
        <v>0</v>
      </c>
      <c r="J22" s="190"/>
      <c r="L22" s="41" t="str">
        <f>'08'!L22</f>
        <v>*) sofern pflichtig</v>
      </c>
      <c r="P22" s="47"/>
    </row>
    <row r="23" spans="2:17" ht="15">
      <c r="B23" s="15">
        <f t="shared" si="2"/>
        <v>43966</v>
      </c>
      <c r="C23" s="154"/>
      <c r="D23" s="359"/>
      <c r="E23" s="268"/>
      <c r="F23" s="268"/>
      <c r="G23" s="269"/>
      <c r="H23" s="12">
        <f t="shared" si="0"/>
        <v>0</v>
      </c>
      <c r="I23" s="13">
        <f t="shared" si="1"/>
        <v>0</v>
      </c>
      <c r="J23" s="190"/>
      <c r="Q23" s="46"/>
    </row>
    <row r="24" spans="2:17" ht="15">
      <c r="B24" s="15">
        <f t="shared" si="2"/>
        <v>43967</v>
      </c>
      <c r="C24" s="154"/>
      <c r="D24" s="359"/>
      <c r="E24" s="268"/>
      <c r="F24" s="268"/>
      <c r="G24" s="269"/>
      <c r="H24" s="12">
        <f t="shared" si="0"/>
        <v>0</v>
      </c>
      <c r="I24" s="13">
        <f t="shared" si="1"/>
        <v>0</v>
      </c>
      <c r="J24" s="190"/>
      <c r="L24" s="39" t="str">
        <f>'08'!L24</f>
        <v>Total Abzüge</v>
      </c>
      <c r="Q24" s="49" t="e">
        <f>INT((SUM(P16:P21)*20)+0.5)/20</f>
        <v>#N/A</v>
      </c>
    </row>
    <row r="25" spans="2:17" ht="15">
      <c r="B25" s="15">
        <f t="shared" si="2"/>
        <v>43968</v>
      </c>
      <c r="C25" s="154"/>
      <c r="D25" s="359"/>
      <c r="E25" s="268"/>
      <c r="F25" s="268"/>
      <c r="G25" s="269"/>
      <c r="H25" s="12">
        <f t="shared" si="0"/>
        <v>0</v>
      </c>
      <c r="I25" s="13">
        <f t="shared" si="1"/>
        <v>0</v>
      </c>
      <c r="J25" s="190"/>
      <c r="Q25" s="47"/>
    </row>
    <row r="26" spans="2:17" ht="15">
      <c r="B26" s="15">
        <f t="shared" si="2"/>
        <v>43969</v>
      </c>
      <c r="C26" s="154"/>
      <c r="D26" s="359"/>
      <c r="E26" s="268"/>
      <c r="F26" s="268"/>
      <c r="G26" s="269"/>
      <c r="H26" s="12">
        <f t="shared" si="0"/>
        <v>0</v>
      </c>
      <c r="I26" s="13">
        <f t="shared" si="1"/>
        <v>0</v>
      </c>
      <c r="J26" s="190"/>
      <c r="L26" s="39" t="str">
        <f>'08'!L26</f>
        <v>Rückvergügungen</v>
      </c>
      <c r="M26" s="34"/>
      <c r="N26" s="34"/>
      <c r="O26" s="38"/>
      <c r="P26" s="45"/>
      <c r="Q26" s="46"/>
    </row>
    <row r="27" spans="2:17" ht="15">
      <c r="B27" s="15">
        <f t="shared" si="2"/>
        <v>43970</v>
      </c>
      <c r="C27" s="154"/>
      <c r="D27" s="359"/>
      <c r="E27" s="268"/>
      <c r="F27" s="268"/>
      <c r="G27" s="269"/>
      <c r="H27" s="12">
        <f t="shared" si="0"/>
        <v>0</v>
      </c>
      <c r="I27" s="13">
        <f t="shared" si="1"/>
        <v>0</v>
      </c>
      <c r="J27" s="190"/>
      <c r="L27" s="38" t="str">
        <f>'08'!L27</f>
        <v>Kostenbeteiligungen</v>
      </c>
      <c r="M27" s="511"/>
      <c r="N27" s="511"/>
      <c r="O27" s="38"/>
      <c r="P27" s="159"/>
      <c r="Q27" s="46"/>
    </row>
    <row r="28" spans="2:17" ht="15">
      <c r="B28" s="15">
        <f t="shared" si="2"/>
        <v>43971</v>
      </c>
      <c r="C28" s="154"/>
      <c r="D28" s="359"/>
      <c r="E28" s="268"/>
      <c r="F28" s="268"/>
      <c r="G28" s="269"/>
      <c r="H28" s="12">
        <f t="shared" si="0"/>
        <v>0</v>
      </c>
      <c r="I28" s="13">
        <f t="shared" si="1"/>
        <v>0</v>
      </c>
      <c r="J28" s="190"/>
      <c r="L28" s="38" t="str">
        <f>'08'!L28</f>
        <v>Übrige Rückvergütungen</v>
      </c>
      <c r="M28" s="512"/>
      <c r="N28" s="512"/>
      <c r="O28" s="38"/>
      <c r="P28" s="160"/>
      <c r="Q28" s="46"/>
    </row>
    <row r="29" spans="2:10" ht="15">
      <c r="B29" s="15">
        <f t="shared" si="2"/>
        <v>43972</v>
      </c>
      <c r="C29" s="154"/>
      <c r="D29" s="359"/>
      <c r="E29" s="268"/>
      <c r="F29" s="268"/>
      <c r="G29" s="269"/>
      <c r="H29" s="12">
        <f t="shared" si="0"/>
        <v>0</v>
      </c>
      <c r="I29" s="13">
        <f t="shared" si="1"/>
        <v>0</v>
      </c>
      <c r="J29" s="190"/>
    </row>
    <row r="30" spans="2:17" ht="15">
      <c r="B30" s="15">
        <f t="shared" si="2"/>
        <v>43973</v>
      </c>
      <c r="C30" s="154"/>
      <c r="D30" s="359"/>
      <c r="E30" s="268"/>
      <c r="F30" s="268"/>
      <c r="G30" s="269"/>
      <c r="H30" s="12">
        <f t="shared" si="0"/>
        <v>0</v>
      </c>
      <c r="I30" s="13">
        <f t="shared" si="1"/>
        <v>0</v>
      </c>
      <c r="J30" s="190"/>
      <c r="L30" s="39" t="str">
        <f>'08'!L30</f>
        <v>Zuschläge</v>
      </c>
      <c r="M30" s="34"/>
      <c r="N30" s="34"/>
      <c r="O30" s="38"/>
      <c r="P30" s="45"/>
      <c r="Q30" s="52">
        <f>SUM(P27:P28)</f>
        <v>0</v>
      </c>
    </row>
    <row r="31" spans="2:17" ht="15">
      <c r="B31" s="15">
        <f t="shared" si="2"/>
        <v>43974</v>
      </c>
      <c r="C31" s="154"/>
      <c r="D31" s="359"/>
      <c r="E31" s="268"/>
      <c r="F31" s="268"/>
      <c r="G31" s="269"/>
      <c r="H31" s="12">
        <f t="shared" si="0"/>
        <v>0</v>
      </c>
      <c r="I31" s="13">
        <f t="shared" si="1"/>
        <v>0</v>
      </c>
      <c r="J31" s="190"/>
      <c r="L31" s="34"/>
      <c r="M31" s="34"/>
      <c r="N31" s="34"/>
      <c r="O31" s="38"/>
      <c r="P31" s="45"/>
      <c r="Q31" s="46"/>
    </row>
    <row r="32" spans="2:17" ht="15">
      <c r="B32" s="15">
        <f t="shared" si="2"/>
        <v>43975</v>
      </c>
      <c r="C32" s="154"/>
      <c r="D32" s="359"/>
      <c r="E32" s="268"/>
      <c r="F32" s="268"/>
      <c r="G32" s="269"/>
      <c r="H32" s="12">
        <f t="shared" si="0"/>
        <v>0</v>
      </c>
      <c r="I32" s="13">
        <f t="shared" si="1"/>
        <v>0</v>
      </c>
      <c r="J32" s="190"/>
      <c r="L32" s="39" t="str">
        <f>'08'!L32</f>
        <v>Netto-Auszahlung</v>
      </c>
      <c r="M32" s="34"/>
      <c r="N32" s="34"/>
      <c r="O32" s="38"/>
      <c r="P32" s="45"/>
      <c r="Q32" s="53" t="e">
        <f>Q13+Q30-Q24</f>
        <v>#N/A</v>
      </c>
    </row>
    <row r="33" spans="2:17" ht="15">
      <c r="B33" s="15">
        <f t="shared" si="2"/>
        <v>43976</v>
      </c>
      <c r="C33" s="154"/>
      <c r="D33" s="359"/>
      <c r="E33" s="268"/>
      <c r="F33" s="268"/>
      <c r="G33" s="269"/>
      <c r="H33" s="12">
        <f t="shared" si="0"/>
        <v>0</v>
      </c>
      <c r="I33" s="13">
        <f t="shared" si="1"/>
        <v>0</v>
      </c>
      <c r="J33" s="190"/>
      <c r="L33" s="34"/>
      <c r="M33" s="386" t="str">
        <f>'08'!M33</f>
        <v>aktueller
Monat</v>
      </c>
      <c r="N33" s="386" t="str">
        <f>'08'!N33</f>
        <v>Summe der
Vormonate</v>
      </c>
      <c r="O33" s="386" t="str">
        <f>'08'!O33</f>
        <v>Jahresvor-
anschlag:</v>
      </c>
      <c r="P33" s="510"/>
      <c r="Q33" s="386" t="str">
        <f>'08'!Q33</f>
        <v>Aktueller
Saldo</v>
      </c>
    </row>
    <row r="34" spans="2:17" ht="15">
      <c r="B34" s="15">
        <f t="shared" si="2"/>
        <v>43977</v>
      </c>
      <c r="C34" s="154"/>
      <c r="D34" s="359"/>
      <c r="E34" s="268"/>
      <c r="F34" s="268"/>
      <c r="G34" s="269"/>
      <c r="H34" s="12">
        <f t="shared" si="0"/>
        <v>0</v>
      </c>
      <c r="I34" s="13">
        <f t="shared" si="1"/>
        <v>0</v>
      </c>
      <c r="J34" s="190"/>
      <c r="L34" s="56" t="str">
        <f>'08'!L34</f>
        <v>Tagesabrechnung</v>
      </c>
      <c r="M34" s="387">
        <f>'08'!M34</f>
        <v>0</v>
      </c>
      <c r="N34" s="387">
        <f>'08'!N34</f>
        <v>0</v>
      </c>
      <c r="O34" s="387">
        <f>'08'!O34</f>
        <v>0</v>
      </c>
      <c r="P34" s="510"/>
      <c r="Q34" s="387">
        <f>'08'!Q34</f>
        <v>0</v>
      </c>
    </row>
    <row r="35" spans="2:17" ht="15">
      <c r="B35" s="15">
        <f t="shared" si="2"/>
        <v>43978</v>
      </c>
      <c r="C35" s="154"/>
      <c r="D35" s="359"/>
      <c r="E35" s="268"/>
      <c r="F35" s="268"/>
      <c r="G35" s="269"/>
      <c r="H35" s="12">
        <f t="shared" si="0"/>
        <v>0</v>
      </c>
      <c r="I35" s="13">
        <f t="shared" si="1"/>
        <v>0</v>
      </c>
      <c r="J35" s="190"/>
      <c r="L35" s="287" t="str">
        <f>'08'!L35</f>
        <v>Arbeit:</v>
      </c>
      <c r="M35" s="262">
        <f aca="true" t="shared" si="3" ref="M35:N38">H43</f>
        <v>0</v>
      </c>
      <c r="N35" s="262">
        <f t="shared" si="3"/>
        <v>0</v>
      </c>
      <c r="O35" s="262" t="e">
        <f>NJ_Travail</f>
        <v>#N/A</v>
      </c>
      <c r="Q35" s="263" t="e">
        <f aca="true" t="shared" si="4" ref="Q35:Q42">O35-N35-M35</f>
        <v>#N/A</v>
      </c>
    </row>
    <row r="36" spans="2:17" ht="15">
      <c r="B36" s="15">
        <f t="shared" si="2"/>
        <v>43979</v>
      </c>
      <c r="C36" s="154"/>
      <c r="D36" s="359"/>
      <c r="E36" s="268"/>
      <c r="F36" s="268"/>
      <c r="G36" s="269"/>
      <c r="H36" s="12">
        <f t="shared" si="0"/>
        <v>0</v>
      </c>
      <c r="I36" s="13">
        <f t="shared" si="1"/>
        <v>0</v>
      </c>
      <c r="J36" s="190"/>
      <c r="L36" s="287" t="str">
        <f>'08'!L36</f>
        <v>Schultage:</v>
      </c>
      <c r="M36" s="178">
        <f t="shared" si="3"/>
        <v>0</v>
      </c>
      <c r="N36" s="178">
        <f t="shared" si="3"/>
        <v>0</v>
      </c>
      <c r="O36" s="178" t="e">
        <f>NJ_CoursProf</f>
        <v>#N/A</v>
      </c>
      <c r="Q36" s="179" t="e">
        <f t="shared" si="4"/>
        <v>#N/A</v>
      </c>
    </row>
    <row r="37" spans="2:17" ht="15">
      <c r="B37" s="15">
        <f t="shared" si="2"/>
        <v>43980</v>
      </c>
      <c r="C37" s="154"/>
      <c r="D37" s="359"/>
      <c r="E37" s="268"/>
      <c r="F37" s="268"/>
      <c r="G37" s="269"/>
      <c r="H37" s="12">
        <f t="shared" si="0"/>
        <v>0</v>
      </c>
      <c r="I37" s="13">
        <f t="shared" si="1"/>
        <v>0</v>
      </c>
      <c r="J37" s="190"/>
      <c r="L37" s="287" t="str">
        <f>'08'!L37</f>
        <v>üK:</v>
      </c>
      <c r="M37" s="178">
        <f t="shared" si="3"/>
        <v>0</v>
      </c>
      <c r="N37" s="178">
        <f t="shared" si="3"/>
        <v>0</v>
      </c>
      <c r="O37" s="178" t="e">
        <f>NJ_CoursIE</f>
        <v>#N/A</v>
      </c>
      <c r="Q37" s="179" t="e">
        <f t="shared" si="4"/>
        <v>#N/A</v>
      </c>
    </row>
    <row r="38" spans="2:17" ht="15">
      <c r="B38" s="15">
        <f t="shared" si="2"/>
        <v>43981</v>
      </c>
      <c r="C38" s="154"/>
      <c r="D38" s="359"/>
      <c r="E38" s="268"/>
      <c r="F38" s="268"/>
      <c r="G38" s="269"/>
      <c r="H38" s="12">
        <f t="shared" si="0"/>
        <v>0</v>
      </c>
      <c r="I38" s="13">
        <f t="shared" si="1"/>
        <v>0</v>
      </c>
      <c r="J38" s="190"/>
      <c r="L38" s="287" t="str">
        <f>'08'!L38</f>
        <v>Militär:</v>
      </c>
      <c r="M38" s="178">
        <f t="shared" si="3"/>
        <v>0</v>
      </c>
      <c r="N38" s="178">
        <f t="shared" si="3"/>
        <v>0</v>
      </c>
      <c r="O38" s="178">
        <f>NJ_Bloc</f>
        <v>0</v>
      </c>
      <c r="Q38" s="179">
        <f t="shared" si="4"/>
        <v>0</v>
      </c>
    </row>
    <row r="39" spans="2:17" ht="15.75" thickBot="1">
      <c r="B39" s="58">
        <f t="shared" si="2"/>
        <v>43982</v>
      </c>
      <c r="C39" s="154"/>
      <c r="D39" s="359"/>
      <c r="E39" s="268"/>
      <c r="F39" s="268"/>
      <c r="G39" s="269"/>
      <c r="H39" s="12">
        <f t="shared" si="0"/>
        <v>0</v>
      </c>
      <c r="I39" s="13">
        <f t="shared" si="1"/>
        <v>0</v>
      </c>
      <c r="J39" s="191"/>
      <c r="L39" s="287" t="str">
        <f>'08'!L39</f>
        <v>Frei:</v>
      </c>
      <c r="M39" s="262">
        <f aca="true" t="shared" si="5" ref="M39:N42">H47</f>
        <v>0</v>
      </c>
      <c r="N39" s="262">
        <f t="shared" si="5"/>
        <v>0</v>
      </c>
      <c r="O39" s="262" t="e">
        <f>NJ_Conge</f>
        <v>#N/A</v>
      </c>
      <c r="Q39" s="263" t="e">
        <f t="shared" si="4"/>
        <v>#N/A</v>
      </c>
    </row>
    <row r="40" spans="2:17" ht="15.75" thickBot="1">
      <c r="B40" s="335" t="str">
        <f>'08'!B40</f>
        <v>Total</v>
      </c>
      <c r="C40" s="336">
        <f>COUNTIF(C9:C39,"a")+COUNTIF(C9:C39,"b")+COUNTIF(C9:C39,"c")+COUNTIF(C9:C39,"d")+COUNTIF(C9:C39,"e")+COUNTIF(C9:C39,"f")+COUNTIF(C9:C39,"g")+COUNTIF(C9:C39,"h")+COUNTIF(C9:C39,"i")</f>
        <v>0</v>
      </c>
      <c r="D40" s="17">
        <f aca="true" t="shared" si="6" ref="D40:I40">SUM(D9:D39)</f>
        <v>0</v>
      </c>
      <c r="E40" s="18">
        <f t="shared" si="6"/>
        <v>0</v>
      </c>
      <c r="F40" s="18">
        <f t="shared" si="6"/>
        <v>0</v>
      </c>
      <c r="G40" s="19">
        <f t="shared" si="6"/>
        <v>0</v>
      </c>
      <c r="H40" s="20">
        <f t="shared" si="6"/>
        <v>0</v>
      </c>
      <c r="I40" s="21">
        <f t="shared" si="6"/>
        <v>0</v>
      </c>
      <c r="J40" s="337" t="e">
        <f>INT(((Sa_NatureMensuel/H42*C40)*20)+0.5)/20</f>
        <v>#N/A</v>
      </c>
      <c r="L40" s="288" t="str">
        <f>'08'!L40</f>
        <v>Ferien:</v>
      </c>
      <c r="M40" s="289">
        <f t="shared" si="5"/>
        <v>0</v>
      </c>
      <c r="N40" s="289">
        <f t="shared" si="5"/>
        <v>0</v>
      </c>
      <c r="O40" s="289" t="e">
        <f>NJ_Vacances</f>
        <v>#N/A</v>
      </c>
      <c r="Q40" s="290" t="e">
        <f t="shared" si="4"/>
        <v>#N/A</v>
      </c>
    </row>
    <row r="41" spans="2:17" ht="15.75" thickBot="1">
      <c r="B41" s="452"/>
      <c r="C41" s="453"/>
      <c r="D41" s="453"/>
      <c r="E41" s="453"/>
      <c r="F41" s="453"/>
      <c r="G41" s="506"/>
      <c r="H41" s="286">
        <f>B3</f>
        <v>43952</v>
      </c>
      <c r="I41" s="22" t="str">
        <f>'08'!I41</f>
        <v>Total</v>
      </c>
      <c r="J41" s="23"/>
      <c r="L41" s="288" t="str">
        <f>'08'!L41</f>
        <v>Unfall:</v>
      </c>
      <c r="M41" s="289">
        <f t="shared" si="5"/>
        <v>0</v>
      </c>
      <c r="N41" s="289">
        <f t="shared" si="5"/>
        <v>0</v>
      </c>
      <c r="O41" s="289">
        <v>0</v>
      </c>
      <c r="Q41" s="290">
        <f t="shared" si="4"/>
        <v>0</v>
      </c>
    </row>
    <row r="42" spans="2:17" ht="15">
      <c r="B42" s="408" t="str">
        <f>'08'!B42</f>
        <v>Tagesabrechnung</v>
      </c>
      <c r="C42" s="409" t="e">
        <f>'08'!C42</f>
        <v>#N/A</v>
      </c>
      <c r="D42" s="409" t="e">
        <f>'08'!D42</f>
        <v>#REF!</v>
      </c>
      <c r="E42" s="409" t="e">
        <f>'08'!E42</f>
        <v>#REF!</v>
      </c>
      <c r="F42" s="409" t="e">
        <f>'08'!F42</f>
        <v>#REF!</v>
      </c>
      <c r="G42" s="410" t="e">
        <f>'08'!G42</f>
        <v>#REF!</v>
      </c>
      <c r="H42" s="24">
        <v>31</v>
      </c>
      <c r="I42" s="25">
        <f>SUM('04'!H42:I42)</f>
        <v>274</v>
      </c>
      <c r="J42" s="26"/>
      <c r="L42" s="287" t="str">
        <f>'08'!L42</f>
        <v>Krankheit:</v>
      </c>
      <c r="M42" s="178">
        <f t="shared" si="5"/>
        <v>0</v>
      </c>
      <c r="N42" s="178">
        <f t="shared" si="5"/>
        <v>0</v>
      </c>
      <c r="O42" s="178">
        <v>0</v>
      </c>
      <c r="Q42" s="179">
        <f t="shared" si="4"/>
        <v>0</v>
      </c>
    </row>
    <row r="43" spans="2:10" ht="15">
      <c r="B43" s="402" t="str">
        <f>'08'!B43</f>
        <v>Arbeitstage ( a )</v>
      </c>
      <c r="C43" s="403" t="e">
        <f>'08'!C43</f>
        <v>#N/A</v>
      </c>
      <c r="D43" s="403" t="e">
        <f>'08'!D43</f>
        <v>#REF!</v>
      </c>
      <c r="E43" s="403" t="e">
        <f>'08'!E43</f>
        <v>#REF!</v>
      </c>
      <c r="F43" s="403" t="e">
        <f>'08'!F43</f>
        <v>#REF!</v>
      </c>
      <c r="G43" s="404" t="e">
        <f>'08'!G43</f>
        <v>#REF!</v>
      </c>
      <c r="H43" s="27">
        <f>COUNTIF(C9:C39,"a")+COUNTIF(C9:C39,"f")/2</f>
        <v>0</v>
      </c>
      <c r="I43" s="28">
        <f>SUM('04'!H43:I43)</f>
        <v>0</v>
      </c>
      <c r="J43" s="29"/>
    </row>
    <row r="44" spans="2:17" ht="15">
      <c r="B44" s="402" t="str">
        <f>'08'!B44</f>
        <v>Schultage ( b )</v>
      </c>
      <c r="C44" s="403" t="e">
        <f>'08'!C44</f>
        <v>#N/A</v>
      </c>
      <c r="D44" s="403" t="e">
        <f>'08'!D44</f>
        <v>#REF!</v>
      </c>
      <c r="E44" s="403" t="e">
        <f>'08'!E44</f>
        <v>#REF!</v>
      </c>
      <c r="F44" s="403" t="e">
        <f>'08'!F44</f>
        <v>#REF!</v>
      </c>
      <c r="G44" s="404" t="e">
        <f>'08'!G44</f>
        <v>#REF!</v>
      </c>
      <c r="H44" s="27">
        <f>COUNTIF(C9:C39,"b")</f>
        <v>0</v>
      </c>
      <c r="I44" s="28">
        <f>SUM('04'!H44:I44)</f>
        <v>0</v>
      </c>
      <c r="J44" s="29"/>
      <c r="L44" s="38" t="str">
        <f>'08'!L44</f>
        <v>Bemerkungen:</v>
      </c>
      <c r="M44" s="513"/>
      <c r="N44" s="514"/>
      <c r="O44" s="514"/>
      <c r="P44" s="514"/>
      <c r="Q44" s="515"/>
    </row>
    <row r="45" spans="2:17" ht="15">
      <c r="B45" s="402" t="str">
        <f>'08'!B45</f>
        <v>überbetriebliche Kurse ( c )</v>
      </c>
      <c r="C45" s="403" t="e">
        <f>'08'!C45</f>
        <v>#N/A</v>
      </c>
      <c r="D45" s="403" t="e">
        <f>'08'!D45</f>
        <v>#REF!</v>
      </c>
      <c r="E45" s="403" t="e">
        <f>'08'!E45</f>
        <v>#REF!</v>
      </c>
      <c r="F45" s="403" t="e">
        <f>'08'!F45</f>
        <v>#REF!</v>
      </c>
      <c r="G45" s="404" t="e">
        <f>'08'!G45</f>
        <v>#REF!</v>
      </c>
      <c r="H45" s="27">
        <f>COUNTIF(C9:C39,"c")</f>
        <v>0</v>
      </c>
      <c r="I45" s="28">
        <f>SUM('04'!H45:I45)</f>
        <v>0</v>
      </c>
      <c r="J45" s="29"/>
      <c r="L45" s="34"/>
      <c r="M45" s="516"/>
      <c r="N45" s="517"/>
      <c r="O45" s="517"/>
      <c r="P45" s="517"/>
      <c r="Q45" s="518"/>
    </row>
    <row r="46" spans="2:17" ht="15">
      <c r="B46" s="402" t="str">
        <f>'08'!B46</f>
        <v>Militär ( i )</v>
      </c>
      <c r="C46" s="403" t="e">
        <f>'08'!C46</f>
        <v>#N/A</v>
      </c>
      <c r="D46" s="403" t="e">
        <f>'08'!D46</f>
        <v>#REF!</v>
      </c>
      <c r="E46" s="403" t="e">
        <f>'08'!E46</f>
        <v>#REF!</v>
      </c>
      <c r="F46" s="403" t="e">
        <f>'08'!F46</f>
        <v>#REF!</v>
      </c>
      <c r="G46" s="404" t="e">
        <f>'08'!G46</f>
        <v>#REF!</v>
      </c>
      <c r="H46" s="27">
        <f>COUNTIF(C9:C39,"i")</f>
        <v>0</v>
      </c>
      <c r="I46" s="28">
        <f>SUM('04'!H46:I46)</f>
        <v>0</v>
      </c>
      <c r="J46" s="29"/>
      <c r="L46" s="34"/>
      <c r="M46" s="519"/>
      <c r="N46" s="520"/>
      <c r="O46" s="520"/>
      <c r="P46" s="520"/>
      <c r="Q46" s="521"/>
    </row>
    <row r="47" spans="2:17" ht="15">
      <c r="B47" s="402" t="str">
        <f>'08'!B47</f>
        <v>Frei ( d )</v>
      </c>
      <c r="C47" s="403" t="e">
        <f>'08'!C47</f>
        <v>#N/A</v>
      </c>
      <c r="D47" s="403" t="e">
        <f>'08'!D47</f>
        <v>#REF!</v>
      </c>
      <c r="E47" s="403" t="e">
        <f>'08'!E47</f>
        <v>#REF!</v>
      </c>
      <c r="F47" s="403" t="e">
        <f>'08'!F47</f>
        <v>#REF!</v>
      </c>
      <c r="G47" s="404" t="e">
        <f>'08'!G47</f>
        <v>#REF!</v>
      </c>
      <c r="H47" s="27">
        <f>COUNTIF(C9:C39,"d")+COUNTIF(C9:C39,"f")/2</f>
        <v>0</v>
      </c>
      <c r="I47" s="28">
        <f>SUM('04'!H47:I47)</f>
        <v>0</v>
      </c>
      <c r="J47" s="29"/>
      <c r="L47" s="34"/>
      <c r="M47" s="34"/>
      <c r="N47" s="34"/>
      <c r="O47" s="38"/>
      <c r="P47" s="34"/>
      <c r="Q47" s="40"/>
    </row>
    <row r="48" spans="1:17" ht="15">
      <c r="A48" s="7">
        <v>289</v>
      </c>
      <c r="B48" s="402" t="str">
        <f>'08'!B48</f>
        <v>Ferien ( e )</v>
      </c>
      <c r="C48" s="403" t="e">
        <f>'08'!C48</f>
        <v>#N/A</v>
      </c>
      <c r="D48" s="403" t="e">
        <f>'08'!D48</f>
        <v>#REF!</v>
      </c>
      <c r="E48" s="403" t="e">
        <f>'08'!E48</f>
        <v>#REF!</v>
      </c>
      <c r="F48" s="403" t="e">
        <f>'08'!F48</f>
        <v>#REF!</v>
      </c>
      <c r="G48" s="404" t="e">
        <f>'08'!G48</f>
        <v>#REF!</v>
      </c>
      <c r="H48" s="27">
        <f>COUNTIF(C9:C39,"e")</f>
        <v>0</v>
      </c>
      <c r="I48" s="28">
        <f>SUM('04'!H48:I48)</f>
        <v>0</v>
      </c>
      <c r="J48" s="29"/>
      <c r="L48" s="38" t="str">
        <f>'08'!L48</f>
        <v>Datum</v>
      </c>
      <c r="M48" s="177"/>
      <c r="N48" s="34"/>
      <c r="O48" s="38" t="str">
        <f>'08'!O48</f>
        <v>Berufsbildner /in</v>
      </c>
      <c r="P48" s="54"/>
      <c r="Q48" s="55"/>
    </row>
    <row r="49" spans="1:17" ht="15">
      <c r="A49" s="7">
        <v>290</v>
      </c>
      <c r="B49" s="402" t="str">
        <f>'08'!B49</f>
        <v>Unfall ( g )</v>
      </c>
      <c r="C49" s="403" t="e">
        <f>'08'!C49</f>
        <v>#N/A</v>
      </c>
      <c r="D49" s="403" t="e">
        <f>'08'!D49</f>
        <v>#REF!</v>
      </c>
      <c r="E49" s="403" t="e">
        <f>'08'!E49</f>
        <v>#REF!</v>
      </c>
      <c r="F49" s="403" t="e">
        <f>'08'!F49</f>
        <v>#REF!</v>
      </c>
      <c r="G49" s="404" t="e">
        <f>'08'!G49</f>
        <v>#REF!</v>
      </c>
      <c r="H49" s="27">
        <f>COUNTIF(C9:C39,"g")</f>
        <v>0</v>
      </c>
      <c r="I49" s="28">
        <f>SUM('04'!H49:I49)</f>
        <v>0</v>
      </c>
      <c r="J49" s="29"/>
      <c r="L49" s="34"/>
      <c r="M49" s="34"/>
      <c r="N49" s="34"/>
      <c r="O49" s="38"/>
      <c r="P49" s="34"/>
      <c r="Q49" s="40"/>
    </row>
    <row r="50" spans="1:17" s="7" customFormat="1" ht="15.75" thickBot="1">
      <c r="A50" s="285">
        <v>291</v>
      </c>
      <c r="B50" s="383" t="str">
        <f>'08'!B50</f>
        <v>Krankheit ( h )</v>
      </c>
      <c r="C50" s="384" t="e">
        <f>'08'!C50</f>
        <v>#N/A</v>
      </c>
      <c r="D50" s="384" t="e">
        <f>'08'!D50</f>
        <v>#REF!</v>
      </c>
      <c r="E50" s="384" t="e">
        <f>'08'!E50</f>
        <v>#REF!</v>
      </c>
      <c r="F50" s="384" t="e">
        <f>'08'!F50</f>
        <v>#REF!</v>
      </c>
      <c r="G50" s="385" t="e">
        <f>'08'!G50</f>
        <v>#REF!</v>
      </c>
      <c r="H50" s="30">
        <f>COUNTIF(C9:C39,"h")</f>
        <v>0</v>
      </c>
      <c r="I50" s="31">
        <f>SUM('04'!H50:I50)</f>
        <v>0</v>
      </c>
      <c r="J50" s="32"/>
      <c r="L50" s="34"/>
      <c r="M50" s="35"/>
      <c r="N50" s="34"/>
      <c r="O50" s="38" t="str">
        <f>'08'!O50</f>
        <v>Lernende /r</v>
      </c>
      <c r="P50" s="54"/>
      <c r="Q50" s="55"/>
    </row>
    <row r="51" spans="12:17" ht="14.25">
      <c r="L51" s="34"/>
      <c r="M51" s="35"/>
      <c r="N51" s="34"/>
      <c r="O51" s="38"/>
      <c r="P51" s="54"/>
      <c r="Q51" s="55"/>
    </row>
  </sheetData>
  <sheetProtection password="83EF" sheet="1" objects="1" scenarios="1"/>
  <mergeCells count="37">
    <mergeCell ref="C2:J2"/>
    <mergeCell ref="B1:J1"/>
    <mergeCell ref="L1:Q1"/>
    <mergeCell ref="M3:N3"/>
    <mergeCell ref="O3:P3"/>
    <mergeCell ref="B3:B8"/>
    <mergeCell ref="C3:C8"/>
    <mergeCell ref="D3:D8"/>
    <mergeCell ref="E3:E8"/>
    <mergeCell ref="G3:G8"/>
    <mergeCell ref="H3:H8"/>
    <mergeCell ref="I3:I8"/>
    <mergeCell ref="F3:F8"/>
    <mergeCell ref="J3:J8"/>
    <mergeCell ref="M5:Q5"/>
    <mergeCell ref="M6:Q6"/>
    <mergeCell ref="M20:N20"/>
    <mergeCell ref="M27:N27"/>
    <mergeCell ref="M28:N28"/>
    <mergeCell ref="M7:Q7"/>
    <mergeCell ref="M8:N8"/>
    <mergeCell ref="M44:Q46"/>
    <mergeCell ref="Q33:Q34"/>
    <mergeCell ref="B46:G46"/>
    <mergeCell ref="B50:G50"/>
    <mergeCell ref="B43:G43"/>
    <mergeCell ref="B47:G47"/>
    <mergeCell ref="B44:G44"/>
    <mergeCell ref="B45:G45"/>
    <mergeCell ref="B48:G48"/>
    <mergeCell ref="B49:G49"/>
    <mergeCell ref="B41:G41"/>
    <mergeCell ref="B42:G42"/>
    <mergeCell ref="N33:N34"/>
    <mergeCell ref="M33:M34"/>
    <mergeCell ref="P33:P34"/>
    <mergeCell ref="O33:O34"/>
  </mergeCells>
  <conditionalFormatting sqref="E9:E39">
    <cfRule type="cellIs" priority="32" dxfId="9" operator="lessThan" stopIfTrue="1">
      <formula>0</formula>
    </cfRule>
    <cfRule type="cellIs" priority="33" dxfId="8" operator="greaterThan" stopIfTrue="1">
      <formula>0</formula>
    </cfRule>
    <cfRule type="expression" priority="34" dxfId="7" stopIfTrue="1">
      <formula>OR(C9="a",C9="b",C9="c")</formula>
    </cfRule>
  </conditionalFormatting>
  <conditionalFormatting sqref="F9:F39">
    <cfRule type="cellIs" priority="35" dxfId="9" operator="lessThan" stopIfTrue="1">
      <formula>0</formula>
    </cfRule>
    <cfRule type="cellIs" priority="36" dxfId="8" operator="greaterThan" stopIfTrue="1">
      <formula>0</formula>
    </cfRule>
    <cfRule type="expression" priority="37" dxfId="7" stopIfTrue="1">
      <formula>OR(C9="a")</formula>
    </cfRule>
  </conditionalFormatting>
  <conditionalFormatting sqref="G9:G39">
    <cfRule type="cellIs" priority="38" dxfId="9" operator="lessThan" stopIfTrue="1">
      <formula>0</formula>
    </cfRule>
    <cfRule type="cellIs" priority="39" dxfId="8" operator="greaterThan" stopIfTrue="1">
      <formula>0</formula>
    </cfRule>
    <cfRule type="expression" priority="40" dxfId="7" stopIfTrue="1">
      <formula>OR(C9="a",C9="b",C9="c")</formula>
    </cfRule>
  </conditionalFormatting>
  <conditionalFormatting sqref="B9:B39">
    <cfRule type="expression" priority="28" dxfId="0" stopIfTrue="1">
      <formula>WEEKDAY(B9)=1</formula>
    </cfRule>
  </conditionalFormatting>
  <conditionalFormatting sqref="C9:C39">
    <cfRule type="expression" priority="42" dxfId="2" stopIfTrue="1">
      <formula>AND(C9&lt;&gt;"",C9&lt;&gt;"a",C9&lt;&gt;"b",C9&lt;&gt;"c",C9&lt;&gt;"d",C9&lt;&gt;"e",C9&lt;&gt;"f",C9&lt;&gt;"g",C9&lt;&gt;"h",C9&lt;&gt;"i")</formula>
    </cfRule>
  </conditionalFormatting>
  <conditionalFormatting sqref="D9:D39">
    <cfRule type="cellIs" priority="43" dxfId="9" operator="lessThan" stopIfTrue="1">
      <formula>0</formula>
    </cfRule>
    <cfRule type="cellIs" priority="44" dxfId="8" operator="greaterThan" stopIfTrue="1">
      <formula>0</formula>
    </cfRule>
    <cfRule type="expression" priority="45" dxfId="7" stopIfTrue="1">
      <formula>AND(C9&lt;&gt;"",C9&lt;&gt;"i")</formula>
    </cfRule>
  </conditionalFormatting>
  <conditionalFormatting sqref="D9:D39">
    <cfRule type="cellIs" priority="19" dxfId="9" operator="lessThan" stopIfTrue="1">
      <formula>0</formula>
    </cfRule>
    <cfRule type="cellIs" priority="20" dxfId="8" operator="greaterThan" stopIfTrue="1">
      <formula>0</formula>
    </cfRule>
    <cfRule type="expression" priority="21" dxfId="7" stopIfTrue="1">
      <formula>AND(C9&lt;&gt;"",C9&lt;&gt;"i")</formula>
    </cfRule>
  </conditionalFormatting>
  <conditionalFormatting sqref="D9:D39">
    <cfRule type="cellIs" priority="16" dxfId="9" operator="lessThan" stopIfTrue="1">
      <formula>0</formula>
    </cfRule>
    <cfRule type="cellIs" priority="17" dxfId="8" operator="greaterThan" stopIfTrue="1">
      <formula>0</formula>
    </cfRule>
    <cfRule type="expression" priority="18" dxfId="7" stopIfTrue="1">
      <formula>AND(C9&lt;&gt;"",C9&lt;&gt;"i")</formula>
    </cfRule>
  </conditionalFormatting>
  <conditionalFormatting sqref="D9:D39">
    <cfRule type="cellIs" priority="13" dxfId="9" operator="lessThan" stopIfTrue="1">
      <formula>0</formula>
    </cfRule>
    <cfRule type="cellIs" priority="14" dxfId="8" operator="greaterThan" stopIfTrue="1">
      <formula>0</formula>
    </cfRule>
    <cfRule type="expression" priority="15" dxfId="7" stopIfTrue="1">
      <formula>AND(C9&lt;&gt;"",OR(PN_LogisOuiNon=1,AND(PN_LogisOuiNon=2,C9&lt;&gt;"i")))</formula>
    </cfRule>
  </conditionalFormatting>
  <conditionalFormatting sqref="D9:D39">
    <cfRule type="cellIs" priority="10" dxfId="9" operator="lessThan" stopIfTrue="1">
      <formula>0</formula>
    </cfRule>
    <cfRule type="cellIs" priority="11" dxfId="8" operator="greaterThan" stopIfTrue="1">
      <formula>0</formula>
    </cfRule>
    <cfRule type="expression" priority="12" dxfId="7" stopIfTrue="1">
      <formula>AND(C9&lt;&gt;"",C9&lt;&gt;"i")</formula>
    </cfRule>
  </conditionalFormatting>
  <conditionalFormatting sqref="D9:D39">
    <cfRule type="cellIs" priority="7" dxfId="9" operator="lessThan" stopIfTrue="1">
      <formula>0</formula>
    </cfRule>
    <cfRule type="cellIs" priority="8" dxfId="8" operator="greaterThan" stopIfTrue="1">
      <formula>0</formula>
    </cfRule>
    <cfRule type="expression" priority="9" dxfId="7" stopIfTrue="1">
      <formula>AND(C9&lt;&gt;"",OR(PN_LogisOuiNon=1,AND(PN_LogisOuiNon=2,C9&lt;&gt;"i")))</formula>
    </cfRule>
  </conditionalFormatting>
  <conditionalFormatting sqref="D9:D39">
    <cfRule type="cellIs" priority="4" dxfId="9" operator="lessThan" stopIfTrue="1">
      <formula>0</formula>
    </cfRule>
    <cfRule type="cellIs" priority="5" dxfId="8" operator="greaterThan" stopIfTrue="1">
      <formula>0</formula>
    </cfRule>
    <cfRule type="expression" priority="6" dxfId="7" stopIfTrue="1">
      <formula>AND(C9&lt;&gt;"",OR(PN_LogisOuiNon=1,AND(PN_LogisOuiNon=2,C9&lt;&gt;"j")))</formula>
    </cfRule>
  </conditionalFormatting>
  <conditionalFormatting sqref="H9:H39">
    <cfRule type="expression" priority="1" dxfId="6" stopIfTrue="1">
      <formula>C9="a"</formula>
    </cfRule>
    <cfRule type="expression" priority="2" dxfId="5" stopIfTrue="1">
      <formula>OR(C9="b",C9="c")</formula>
    </cfRule>
    <cfRule type="expression" priority="3" dxfId="0" stopIfTrue="1">
      <formula>OR(C9="d",C9="e")</formula>
    </cfRule>
  </conditionalFormatting>
  <hyperlinks>
    <hyperlink ref="C3:C8" location="Help_Code" display="Help_Code"/>
  </hyperlinks>
  <printOptions horizontalCentered="1" verticalCentered="1"/>
  <pageMargins left="0.3937007874015748" right="0.3937007874015748" top="0.5905511811023623" bottom="0.3937007874015748" header="0.5118110236220472" footer="0.31496062992125984"/>
  <pageSetup horizontalDpi="600" verticalDpi="600" orientation="portrait" paperSize="9" r:id="rId1"/>
  <headerFooter alignWithMargins="0">
    <oddFooter>&amp;L&amp;A&amp;RPage &amp;P</oddFooter>
  </headerFooter>
</worksheet>
</file>

<file path=xl/worksheets/sheet13.xml><?xml version="1.0" encoding="utf-8"?>
<worksheet xmlns="http://schemas.openxmlformats.org/spreadsheetml/2006/main" xmlns:r="http://schemas.openxmlformats.org/officeDocument/2006/relationships">
  <sheetPr codeName="Sheet14"/>
  <dimension ref="A1:Q51"/>
  <sheetViews>
    <sheetView zoomScalePageLayoutView="0" workbookViewId="0" topLeftCell="B1">
      <pane xSplit="1" ySplit="8" topLeftCell="C9" activePane="bottomRight" state="frozen"/>
      <selection pane="topLeft" activeCell="C9" sqref="C9"/>
      <selection pane="topRight" activeCell="C9" sqref="C9"/>
      <selection pane="bottomLeft" activeCell="C9" sqref="C9"/>
      <selection pane="bottomRight" activeCell="N19" sqref="N19"/>
    </sheetView>
  </sheetViews>
  <sheetFormatPr defaultColWidth="9.140625" defaultRowHeight="12.75"/>
  <cols>
    <col min="1" max="1" width="4.7109375" style="7" hidden="1" customWidth="1"/>
    <col min="2" max="2" width="14.7109375" style="7" customWidth="1"/>
    <col min="3" max="7" width="3.7109375" style="7" customWidth="1"/>
    <col min="8" max="9" width="8.7109375" style="8" customWidth="1"/>
    <col min="10" max="10" width="38.7109375" style="7" customWidth="1"/>
    <col min="11" max="11" width="2.7109375" style="7" hidden="1" customWidth="1"/>
    <col min="12" max="12" width="27.421875" style="9" customWidth="1"/>
    <col min="13" max="13" width="12.140625" style="9" customWidth="1"/>
    <col min="14" max="14" width="12.7109375" style="9" customWidth="1"/>
    <col min="15" max="15" width="12.7109375" style="33" customWidth="1"/>
    <col min="16" max="16" width="11.00390625" style="9" customWidth="1"/>
    <col min="17" max="17" width="12.7109375" style="9" customWidth="1"/>
    <col min="18" max="16384" width="9.140625" style="2" customWidth="1"/>
  </cols>
  <sheetData>
    <row r="1" spans="1:17" ht="17.25" thickBot="1">
      <c r="A1" s="10"/>
      <c r="B1" s="430" t="str">
        <f>'08'!B1</f>
        <v>Agenda</v>
      </c>
      <c r="C1" s="431"/>
      <c r="D1" s="431"/>
      <c r="E1" s="431"/>
      <c r="F1" s="431"/>
      <c r="G1" s="431"/>
      <c r="H1" s="431"/>
      <c r="I1" s="431"/>
      <c r="J1" s="432"/>
      <c r="K1" s="10"/>
      <c r="L1" s="433" t="str">
        <f>'08'!L1</f>
        <v>Monatliche Lohnabrechnung</v>
      </c>
      <c r="M1" s="434"/>
      <c r="N1" s="434"/>
      <c r="O1" s="434"/>
      <c r="P1" s="434"/>
      <c r="Q1" s="435"/>
    </row>
    <row r="2" spans="1:17" ht="17.25" thickBot="1">
      <c r="A2" s="10"/>
      <c r="B2" s="175" t="str">
        <f>'08'!B2</f>
        <v>Lerndende / r</v>
      </c>
      <c r="C2" s="495" t="str">
        <f>"- "&amp;TRIM(DB_Apprenti)&amp;" -"</f>
        <v>-  -</v>
      </c>
      <c r="D2" s="495"/>
      <c r="E2" s="495"/>
      <c r="F2" s="495"/>
      <c r="G2" s="495"/>
      <c r="H2" s="495"/>
      <c r="I2" s="495"/>
      <c r="J2" s="496"/>
      <c r="K2" s="10"/>
      <c r="L2" s="152"/>
      <c r="M2" s="152"/>
      <c r="N2" s="152"/>
      <c r="O2" s="152"/>
      <c r="P2" s="152"/>
      <c r="Q2" s="152"/>
    </row>
    <row r="3" spans="2:17" ht="15" customHeight="1">
      <c r="B3" s="438">
        <f>DATE(DB_Annee+1,6,1)</f>
        <v>43983</v>
      </c>
      <c r="C3" s="507" t="str">
        <f>'08'!C3</f>
        <v>[ a-b-c-d-e-f-g-h-i ]</v>
      </c>
      <c r="D3" s="444" t="str">
        <f>'08'!D3</f>
        <v>Übernachtung</v>
      </c>
      <c r="E3" s="447" t="str">
        <f>'08'!E3</f>
        <v>Morgenessen</v>
      </c>
      <c r="F3" s="447" t="str">
        <f>'08'!F3</f>
        <v>Mittagessen</v>
      </c>
      <c r="G3" s="413" t="str">
        <f>'08'!G3</f>
        <v>Abendessen</v>
      </c>
      <c r="H3" s="418" t="str">
        <f>'08'!H3</f>
        <v>Betrag Naturallohn</v>
      </c>
      <c r="I3" s="522" t="str">
        <f>'08'!I3</f>
        <v>Angepasster Betrag</v>
      </c>
      <c r="J3" s="503" t="str">
        <f>'08'!J3</f>
        <v>Kommentar
a = Arbeitstag
b = Schultag
c = überbetrieblicher Kurs (üK)
d = Freitag
e = Ferientag
f = 1/2 Arbeitstag, 1/2 Freitag
g = Unfall (ganz Tag)
h = Krankheit (ganz Tag)
i = Miltär</v>
      </c>
      <c r="L3" s="36" t="str">
        <f>'08'!L3</f>
        <v>Monat:</v>
      </c>
      <c r="M3" s="436">
        <f>B3</f>
        <v>43983</v>
      </c>
      <c r="N3" s="436"/>
      <c r="O3" s="437" t="str">
        <f>'08'!O3</f>
        <v>Jahr:</v>
      </c>
      <c r="P3" s="437">
        <f>'08'!P3</f>
        <v>0</v>
      </c>
      <c r="Q3" s="176">
        <f>B3</f>
        <v>43983</v>
      </c>
    </row>
    <row r="4" spans="1:17" ht="15">
      <c r="A4" s="10"/>
      <c r="B4" s="439"/>
      <c r="C4" s="508">
        <f>'08'!C4</f>
        <v>0</v>
      </c>
      <c r="D4" s="445">
        <f>'08'!D4</f>
        <v>0</v>
      </c>
      <c r="E4" s="448">
        <f>'08'!E4</f>
        <v>0</v>
      </c>
      <c r="F4" s="448">
        <f>'08'!F4</f>
        <v>0</v>
      </c>
      <c r="G4" s="414">
        <f>'08'!G4</f>
        <v>0</v>
      </c>
      <c r="H4" s="419">
        <f>'08'!H4</f>
        <v>0</v>
      </c>
      <c r="I4" s="523">
        <f>'08'!I4</f>
        <v>0</v>
      </c>
      <c r="J4" s="524">
        <f>'08'!J4</f>
        <v>0</v>
      </c>
      <c r="K4" s="10"/>
      <c r="L4" s="34"/>
      <c r="M4" s="34"/>
      <c r="N4" s="37"/>
      <c r="O4" s="36"/>
      <c r="P4" s="11"/>
      <c r="Q4" s="11"/>
    </row>
    <row r="5" spans="1:17" ht="15">
      <c r="A5" s="10"/>
      <c r="B5" s="439"/>
      <c r="C5" s="508">
        <f>'08'!C5</f>
        <v>0</v>
      </c>
      <c r="D5" s="445">
        <f>'08'!D5</f>
        <v>0</v>
      </c>
      <c r="E5" s="448">
        <f>'08'!E5</f>
        <v>0</v>
      </c>
      <c r="F5" s="448">
        <f>'08'!F5</f>
        <v>0</v>
      </c>
      <c r="G5" s="414">
        <f>'08'!G5</f>
        <v>0</v>
      </c>
      <c r="H5" s="419">
        <f>'08'!H5</f>
        <v>0</v>
      </c>
      <c r="I5" s="523">
        <f>'08'!I5</f>
        <v>0</v>
      </c>
      <c r="J5" s="524">
        <f>'08'!J5</f>
        <v>0</v>
      </c>
      <c r="K5" s="10"/>
      <c r="L5" s="36" t="str">
        <f>'08'!L5</f>
        <v>Berufsbildner</v>
      </c>
      <c r="M5" s="416">
        <f>TRIM(DB_Maitre)</f>
      </c>
      <c r="N5" s="416"/>
      <c r="O5" s="416"/>
      <c r="P5" s="416"/>
      <c r="Q5" s="416"/>
    </row>
    <row r="6" spans="1:17" ht="15">
      <c r="A6" s="10"/>
      <c r="B6" s="439"/>
      <c r="C6" s="508">
        <f>'08'!C6</f>
        <v>0</v>
      </c>
      <c r="D6" s="445">
        <f>'08'!D6</f>
        <v>0</v>
      </c>
      <c r="E6" s="448">
        <f>'08'!E6</f>
        <v>0</v>
      </c>
      <c r="F6" s="448">
        <f>'08'!F6</f>
        <v>0</v>
      </c>
      <c r="G6" s="414">
        <f>'08'!G6</f>
        <v>0</v>
      </c>
      <c r="H6" s="419">
        <f>'08'!H6</f>
        <v>0</v>
      </c>
      <c r="I6" s="523">
        <f>'08'!I6</f>
        <v>0</v>
      </c>
      <c r="J6" s="524">
        <f>'08'!J6</f>
        <v>0</v>
      </c>
      <c r="K6" s="10"/>
      <c r="L6" s="36" t="str">
        <f>'08'!L6</f>
        <v>Ort</v>
      </c>
      <c r="M6" s="417">
        <f>TRIM(DB_MaitreLieu)</f>
      </c>
      <c r="N6" s="417"/>
      <c r="O6" s="417"/>
      <c r="P6" s="417"/>
      <c r="Q6" s="417"/>
    </row>
    <row r="7" spans="1:17" ht="15">
      <c r="A7" s="10"/>
      <c r="B7" s="439"/>
      <c r="C7" s="508">
        <f>'08'!C7</f>
        <v>0</v>
      </c>
      <c r="D7" s="445">
        <f>'08'!D7</f>
        <v>0</v>
      </c>
      <c r="E7" s="448">
        <f>'08'!E7</f>
        <v>0</v>
      </c>
      <c r="F7" s="448">
        <f>'08'!F7</f>
        <v>0</v>
      </c>
      <c r="G7" s="414">
        <f>'08'!G7</f>
        <v>0</v>
      </c>
      <c r="H7" s="419">
        <f>'08'!H7</f>
        <v>0</v>
      </c>
      <c r="I7" s="523">
        <f>'08'!I7</f>
        <v>0</v>
      </c>
      <c r="J7" s="524">
        <f>'08'!J7</f>
        <v>0</v>
      </c>
      <c r="K7" s="10"/>
      <c r="L7" s="36" t="str">
        <f>'08'!L7</f>
        <v>Lernende / r</v>
      </c>
      <c r="M7" s="417">
        <f>TRIM(DB_Apprenti)</f>
      </c>
      <c r="N7" s="417"/>
      <c r="O7" s="417"/>
      <c r="P7" s="417"/>
      <c r="Q7" s="417"/>
    </row>
    <row r="8" spans="2:17" ht="15.75" thickBot="1">
      <c r="B8" s="440"/>
      <c r="C8" s="509">
        <f>'08'!C8</f>
        <v>0</v>
      </c>
      <c r="D8" s="446">
        <f>'08'!D8</f>
        <v>0</v>
      </c>
      <c r="E8" s="449">
        <f>'08'!E8</f>
        <v>0</v>
      </c>
      <c r="F8" s="449">
        <f>'08'!F8</f>
        <v>0</v>
      </c>
      <c r="G8" s="415">
        <f>'08'!G8</f>
        <v>0</v>
      </c>
      <c r="H8" s="420">
        <f>'08'!H8</f>
        <v>0</v>
      </c>
      <c r="I8" s="423">
        <f>'08'!I8</f>
        <v>0</v>
      </c>
      <c r="J8" s="525">
        <f>'08'!J8</f>
        <v>0</v>
      </c>
      <c r="L8" s="36" t="str">
        <f>'08'!L8</f>
        <v>AHV-Nummer</v>
      </c>
      <c r="M8" s="417">
        <f>TRIM(DB_AVS)</f>
      </c>
      <c r="N8" s="417"/>
      <c r="P8" s="3" t="str">
        <f>'08'!P8</f>
        <v>Geburtsdatum</v>
      </c>
      <c r="Q8" s="42">
        <f>IF(DB_DateNaissance=0,"",DB_DateNaissance)</f>
      </c>
    </row>
    <row r="9" spans="2:11" ht="15">
      <c r="B9" s="87">
        <f>B3</f>
        <v>43983</v>
      </c>
      <c r="C9" s="154"/>
      <c r="D9" s="359"/>
      <c r="E9" s="268"/>
      <c r="F9" s="268"/>
      <c r="G9" s="269"/>
      <c r="H9" s="12">
        <f aca="true" t="shared" si="0" ref="H9:H39">MAX(IF(C9="a",PN_Travail,IF(C9="b",PN_CoursProf,IF(C9="c",PN_CoursIE,IF(C9="d",PN_Conge,0)))),IF(C9="e",PN_Vacances,IF(C9="f",PN_DemiJour,IF(C9="g",PN_Accident,IF(C9="h",PN_Maladie,IF(C9="i",PN_Armee,0))))))</f>
        <v>0</v>
      </c>
      <c r="I9" s="13">
        <f aca="true" t="shared" si="1" ref="I9:I39">H9+D9*PN_Logis_Plus+E9*PN_Dejeuner_Plus+F9*PN_Diner_Plus+G9*PN_Souper_Plus</f>
        <v>0</v>
      </c>
      <c r="J9" s="161"/>
      <c r="K9" s="14"/>
    </row>
    <row r="10" spans="2:10" ht="15">
      <c r="B10" s="15">
        <f>B9+1</f>
        <v>43984</v>
      </c>
      <c r="C10" s="154"/>
      <c r="D10" s="359"/>
      <c r="E10" s="268"/>
      <c r="F10" s="268"/>
      <c r="G10" s="269"/>
      <c r="H10" s="12">
        <f t="shared" si="0"/>
        <v>0</v>
      </c>
      <c r="I10" s="13">
        <f t="shared" si="1"/>
        <v>0</v>
      </c>
      <c r="J10" s="190"/>
    </row>
    <row r="11" spans="1:17" ht="15">
      <c r="A11" s="163">
        <v>230</v>
      </c>
      <c r="B11" s="15">
        <f aca="true" t="shared" si="2" ref="B11:B38">B10+1</f>
        <v>43985</v>
      </c>
      <c r="C11" s="154"/>
      <c r="D11" s="359"/>
      <c r="E11" s="268"/>
      <c r="F11" s="268"/>
      <c r="G11" s="269"/>
      <c r="H11" s="12">
        <f t="shared" si="0"/>
        <v>0</v>
      </c>
      <c r="I11" s="13">
        <f t="shared" si="1"/>
        <v>0</v>
      </c>
      <c r="J11" s="190"/>
      <c r="L11" s="39" t="str">
        <f>'08'!L11</f>
        <v>Bruttolohn  </v>
      </c>
      <c r="M11" s="34" t="e">
        <f>IF(PN_EffMoy=0,SUBSTITUTE(VLOOKUP(A11+1,Tb_Traduction,DB_Langue,FALSE),"***",TEXT(J40,"0.00")),"")</f>
        <v>#N/A</v>
      </c>
      <c r="N11" s="34"/>
      <c r="O11" s="38"/>
      <c r="P11" s="45"/>
      <c r="Q11" s="49" t="e">
        <f>IF(OR(PN_EffMoy=0,Nb_Mois&lt;&gt;12),Sa_BaseMensuelArrondi/H42*C40,Sa_BaseMensuelArrondi)</f>
        <v>#N/A</v>
      </c>
    </row>
    <row r="12" spans="2:17" ht="15">
      <c r="B12" s="15">
        <f t="shared" si="2"/>
        <v>43986</v>
      </c>
      <c r="C12" s="154"/>
      <c r="D12" s="359"/>
      <c r="E12" s="268"/>
      <c r="F12" s="268"/>
      <c r="G12" s="269"/>
      <c r="H12" s="12">
        <f t="shared" si="0"/>
        <v>0</v>
      </c>
      <c r="I12" s="13">
        <f t="shared" si="1"/>
        <v>0</v>
      </c>
      <c r="J12" s="190"/>
      <c r="L12" s="9" t="str">
        <f>'08'!L12</f>
        <v>Prämie, Bonus, Gratifikation</v>
      </c>
      <c r="Q12" s="155"/>
    </row>
    <row r="13" spans="2:17" ht="15">
      <c r="B13" s="15">
        <f t="shared" si="2"/>
        <v>43987</v>
      </c>
      <c r="C13" s="154"/>
      <c r="D13" s="359"/>
      <c r="E13" s="268"/>
      <c r="F13" s="268"/>
      <c r="G13" s="269"/>
      <c r="H13" s="12">
        <f t="shared" si="0"/>
        <v>0</v>
      </c>
      <c r="I13" s="13">
        <f t="shared" si="1"/>
        <v>0</v>
      </c>
      <c r="J13" s="190"/>
      <c r="L13" s="88" t="str">
        <f>'08'!L13</f>
        <v>Bruttolohn total</v>
      </c>
      <c r="Q13" s="89" t="e">
        <f>SUM(Q11:Q12)</f>
        <v>#N/A</v>
      </c>
    </row>
    <row r="14" spans="2:10" ht="15">
      <c r="B14" s="15">
        <f t="shared" si="2"/>
        <v>43988</v>
      </c>
      <c r="C14" s="154"/>
      <c r="D14" s="359"/>
      <c r="E14" s="268"/>
      <c r="F14" s="268"/>
      <c r="G14" s="269"/>
      <c r="H14" s="12">
        <f t="shared" si="0"/>
        <v>0</v>
      </c>
      <c r="I14" s="13">
        <f t="shared" si="1"/>
        <v>0</v>
      </c>
      <c r="J14" s="190"/>
    </row>
    <row r="15" spans="2:17" ht="15">
      <c r="B15" s="15">
        <f t="shared" si="2"/>
        <v>43989</v>
      </c>
      <c r="C15" s="154"/>
      <c r="D15" s="359"/>
      <c r="E15" s="268"/>
      <c r="F15" s="268"/>
      <c r="G15" s="269"/>
      <c r="H15" s="12">
        <f t="shared" si="0"/>
        <v>0</v>
      </c>
      <c r="I15" s="13">
        <f t="shared" si="1"/>
        <v>0</v>
      </c>
      <c r="J15" s="190"/>
      <c r="L15" s="39" t="str">
        <f>'08'!L15</f>
        <v>Abzüge</v>
      </c>
      <c r="M15" s="11" t="str">
        <f>'08'!M15</f>
        <v>Anteil</v>
      </c>
      <c r="N15" s="11" t="s">
        <v>37</v>
      </c>
      <c r="O15" s="38"/>
      <c r="P15" s="45"/>
      <c r="Q15" s="46"/>
    </row>
    <row r="16" spans="2:17" ht="15">
      <c r="B16" s="15">
        <f t="shared" si="2"/>
        <v>43990</v>
      </c>
      <c r="C16" s="154"/>
      <c r="D16" s="359"/>
      <c r="E16" s="268"/>
      <c r="F16" s="268"/>
      <c r="G16" s="269"/>
      <c r="H16" s="12">
        <f t="shared" si="0"/>
        <v>0</v>
      </c>
      <c r="I16" s="13">
        <f t="shared" si="1"/>
        <v>0</v>
      </c>
      <c r="J16" s="190"/>
      <c r="L16" s="48" t="str">
        <f>'08'!L16</f>
        <v>Beiträge AHV, IV, EO*:</v>
      </c>
      <c r="M16" s="43" t="s">
        <v>50</v>
      </c>
      <c r="N16" s="44">
        <f>IF(B3&gt;=DB_SoumisAVS,RS_AVS_Plus,0)</f>
        <v>0.05125</v>
      </c>
      <c r="O16" s="38"/>
      <c r="P16" s="50" t="e">
        <f>$Q$13*N16</f>
        <v>#N/A</v>
      </c>
      <c r="Q16" s="46"/>
    </row>
    <row r="17" spans="2:17" ht="15">
      <c r="B17" s="15">
        <f t="shared" si="2"/>
        <v>43991</v>
      </c>
      <c r="C17" s="154"/>
      <c r="D17" s="359"/>
      <c r="E17" s="268"/>
      <c r="F17" s="268"/>
      <c r="G17" s="269"/>
      <c r="H17" s="12">
        <f t="shared" si="0"/>
        <v>0</v>
      </c>
      <c r="I17" s="13">
        <f t="shared" si="1"/>
        <v>0</v>
      </c>
      <c r="J17" s="190"/>
      <c r="L17" s="48" t="str">
        <f>'08'!L17</f>
        <v>Beiträge ALV*:</v>
      </c>
      <c r="M17" s="43" t="s">
        <v>50</v>
      </c>
      <c r="N17" s="44">
        <f>IF(B3&gt;=DB_SoumisAVS,RS_AC_Plus,0)</f>
        <v>0.011</v>
      </c>
      <c r="O17" s="38"/>
      <c r="P17" s="50" t="e">
        <f>$Q$13*N17</f>
        <v>#N/A</v>
      </c>
      <c r="Q17" s="46"/>
    </row>
    <row r="18" spans="2:17" ht="15">
      <c r="B18" s="15">
        <f t="shared" si="2"/>
        <v>43992</v>
      </c>
      <c r="C18" s="154"/>
      <c r="D18" s="359"/>
      <c r="E18" s="268"/>
      <c r="F18" s="268"/>
      <c r="G18" s="269"/>
      <c r="H18" s="12">
        <f t="shared" si="0"/>
        <v>0</v>
      </c>
      <c r="I18" s="13">
        <f t="shared" si="1"/>
        <v>0</v>
      </c>
      <c r="J18" s="190"/>
      <c r="L18" s="48" t="str">
        <f>'08'!L18</f>
        <v>Nichtbetriebsunfall:</v>
      </c>
      <c r="M18" s="43" t="s">
        <v>244</v>
      </c>
      <c r="N18" s="44">
        <f>RS_ANP_Plus</f>
        <v>0.01641</v>
      </c>
      <c r="O18" s="38"/>
      <c r="P18" s="51" t="e">
        <f>$Q$13*N18</f>
        <v>#N/A</v>
      </c>
      <c r="Q18" s="46"/>
    </row>
    <row r="19" spans="2:17" ht="15">
      <c r="B19" s="15">
        <f t="shared" si="2"/>
        <v>43993</v>
      </c>
      <c r="C19" s="154"/>
      <c r="D19" s="359"/>
      <c r="E19" s="268"/>
      <c r="F19" s="268"/>
      <c r="G19" s="269"/>
      <c r="H19" s="12">
        <f t="shared" si="0"/>
        <v>0</v>
      </c>
      <c r="I19" s="13">
        <f t="shared" si="1"/>
        <v>0</v>
      </c>
      <c r="J19" s="190"/>
      <c r="L19" s="48" t="str">
        <f>'08'!L19</f>
        <v>Krankentaggeld:</v>
      </c>
      <c r="M19" s="43" t="s">
        <v>50</v>
      </c>
      <c r="N19" s="44">
        <f>RS_MC_Plus</f>
        <v>0.0044</v>
      </c>
      <c r="O19" s="38"/>
      <c r="P19" s="50" t="e">
        <f>$Q$13*N19</f>
        <v>#N/A</v>
      </c>
      <c r="Q19" s="46"/>
    </row>
    <row r="20" spans="2:16" ht="15">
      <c r="B20" s="15">
        <f t="shared" si="2"/>
        <v>43994</v>
      </c>
      <c r="C20" s="154"/>
      <c r="D20" s="359"/>
      <c r="E20" s="268"/>
      <c r="F20" s="268"/>
      <c r="G20" s="269"/>
      <c r="H20" s="12">
        <f t="shared" si="0"/>
        <v>0</v>
      </c>
      <c r="I20" s="13">
        <f t="shared" si="1"/>
        <v>0</v>
      </c>
      <c r="J20" s="190"/>
      <c r="L20" s="48" t="str">
        <f>'08'!L20</f>
        <v>Anderer Abzug:</v>
      </c>
      <c r="M20" s="511"/>
      <c r="N20" s="511"/>
      <c r="O20" s="38"/>
      <c r="P20" s="160"/>
    </row>
    <row r="21" spans="2:16" ht="15">
      <c r="B21" s="15">
        <f t="shared" si="2"/>
        <v>43995</v>
      </c>
      <c r="C21" s="154"/>
      <c r="D21" s="359"/>
      <c r="E21" s="268"/>
      <c r="F21" s="268"/>
      <c r="G21" s="269"/>
      <c r="H21" s="12">
        <f t="shared" si="0"/>
        <v>0</v>
      </c>
      <c r="I21" s="13">
        <f t="shared" si="1"/>
        <v>0</v>
      </c>
      <c r="J21" s="190"/>
      <c r="L21" s="38" t="e">
        <f>'08'!L21</f>
        <v>#N/A</v>
      </c>
      <c r="M21" s="34"/>
      <c r="N21" s="34"/>
      <c r="O21" s="38"/>
      <c r="P21" s="50" t="e">
        <f>IF(PN_EffMoy=0,I40,IF(Nb_Mois=12,Sa_NatureMensuelArrondi,Sa_NatureMensuelArrondi*C40/H42))</f>
        <v>#N/A</v>
      </c>
    </row>
    <row r="22" spans="2:16" ht="15">
      <c r="B22" s="15">
        <f t="shared" si="2"/>
        <v>43996</v>
      </c>
      <c r="C22" s="154"/>
      <c r="D22" s="359"/>
      <c r="E22" s="268"/>
      <c r="F22" s="268"/>
      <c r="G22" s="269"/>
      <c r="H22" s="12">
        <f t="shared" si="0"/>
        <v>0</v>
      </c>
      <c r="I22" s="13">
        <f t="shared" si="1"/>
        <v>0</v>
      </c>
      <c r="J22" s="190"/>
      <c r="L22" s="41" t="str">
        <f>'08'!L22</f>
        <v>*) sofern pflichtig</v>
      </c>
      <c r="P22" s="47"/>
    </row>
    <row r="23" spans="2:17" ht="15">
      <c r="B23" s="15">
        <f t="shared" si="2"/>
        <v>43997</v>
      </c>
      <c r="C23" s="154"/>
      <c r="D23" s="359"/>
      <c r="E23" s="268"/>
      <c r="F23" s="268"/>
      <c r="G23" s="269"/>
      <c r="H23" s="12">
        <f t="shared" si="0"/>
        <v>0</v>
      </c>
      <c r="I23" s="13">
        <f t="shared" si="1"/>
        <v>0</v>
      </c>
      <c r="J23" s="190"/>
      <c r="Q23" s="46"/>
    </row>
    <row r="24" spans="2:17" ht="15">
      <c r="B24" s="15">
        <f t="shared" si="2"/>
        <v>43998</v>
      </c>
      <c r="C24" s="154"/>
      <c r="D24" s="359"/>
      <c r="E24" s="268"/>
      <c r="F24" s="268"/>
      <c r="G24" s="269"/>
      <c r="H24" s="12">
        <f t="shared" si="0"/>
        <v>0</v>
      </c>
      <c r="I24" s="13">
        <f t="shared" si="1"/>
        <v>0</v>
      </c>
      <c r="J24" s="190"/>
      <c r="L24" s="39" t="str">
        <f>'08'!L24</f>
        <v>Total Abzüge</v>
      </c>
      <c r="Q24" s="49" t="e">
        <f>INT((SUM(P16:P21)*20)+0.5)/20</f>
        <v>#N/A</v>
      </c>
    </row>
    <row r="25" spans="2:17" ht="15">
      <c r="B25" s="15">
        <f t="shared" si="2"/>
        <v>43999</v>
      </c>
      <c r="C25" s="154"/>
      <c r="D25" s="359"/>
      <c r="E25" s="268"/>
      <c r="F25" s="268"/>
      <c r="G25" s="269"/>
      <c r="H25" s="12">
        <f t="shared" si="0"/>
        <v>0</v>
      </c>
      <c r="I25" s="13">
        <f t="shared" si="1"/>
        <v>0</v>
      </c>
      <c r="J25" s="190"/>
      <c r="Q25" s="47"/>
    </row>
    <row r="26" spans="2:17" ht="15">
      <c r="B26" s="15">
        <f t="shared" si="2"/>
        <v>44000</v>
      </c>
      <c r="C26" s="154"/>
      <c r="D26" s="359"/>
      <c r="E26" s="268"/>
      <c r="F26" s="268"/>
      <c r="G26" s="269"/>
      <c r="H26" s="12">
        <f t="shared" si="0"/>
        <v>0</v>
      </c>
      <c r="I26" s="13">
        <f t="shared" si="1"/>
        <v>0</v>
      </c>
      <c r="J26" s="190"/>
      <c r="L26" s="39" t="str">
        <f>'08'!L26</f>
        <v>Rückvergügungen</v>
      </c>
      <c r="M26" s="34"/>
      <c r="N26" s="34"/>
      <c r="O26" s="38"/>
      <c r="P26" s="45"/>
      <c r="Q26" s="46"/>
    </row>
    <row r="27" spans="2:17" ht="15">
      <c r="B27" s="15">
        <f t="shared" si="2"/>
        <v>44001</v>
      </c>
      <c r="C27" s="154"/>
      <c r="D27" s="359"/>
      <c r="E27" s="268"/>
      <c r="F27" s="268"/>
      <c r="G27" s="269"/>
      <c r="H27" s="12">
        <f t="shared" si="0"/>
        <v>0</v>
      </c>
      <c r="I27" s="13">
        <f t="shared" si="1"/>
        <v>0</v>
      </c>
      <c r="J27" s="190"/>
      <c r="L27" s="38" t="str">
        <f>'08'!L27</f>
        <v>Kostenbeteiligungen</v>
      </c>
      <c r="M27" s="511"/>
      <c r="N27" s="511"/>
      <c r="O27" s="38"/>
      <c r="P27" s="159"/>
      <c r="Q27" s="46"/>
    </row>
    <row r="28" spans="2:17" ht="15">
      <c r="B28" s="15">
        <f t="shared" si="2"/>
        <v>44002</v>
      </c>
      <c r="C28" s="154"/>
      <c r="D28" s="359"/>
      <c r="E28" s="268"/>
      <c r="F28" s="268"/>
      <c r="G28" s="269"/>
      <c r="H28" s="12">
        <f t="shared" si="0"/>
        <v>0</v>
      </c>
      <c r="I28" s="13">
        <f t="shared" si="1"/>
        <v>0</v>
      </c>
      <c r="J28" s="190"/>
      <c r="L28" s="38" t="str">
        <f>'08'!L28</f>
        <v>Übrige Rückvergütungen</v>
      </c>
      <c r="M28" s="512"/>
      <c r="N28" s="512"/>
      <c r="O28" s="38"/>
      <c r="P28" s="160"/>
      <c r="Q28" s="46"/>
    </row>
    <row r="29" spans="2:10" ht="15">
      <c r="B29" s="15">
        <f t="shared" si="2"/>
        <v>44003</v>
      </c>
      <c r="C29" s="154"/>
      <c r="D29" s="359"/>
      <c r="E29" s="268"/>
      <c r="F29" s="268"/>
      <c r="G29" s="269"/>
      <c r="H29" s="12">
        <f t="shared" si="0"/>
        <v>0</v>
      </c>
      <c r="I29" s="13">
        <f t="shared" si="1"/>
        <v>0</v>
      </c>
      <c r="J29" s="190"/>
    </row>
    <row r="30" spans="2:17" ht="15">
      <c r="B30" s="15">
        <f t="shared" si="2"/>
        <v>44004</v>
      </c>
      <c r="C30" s="154"/>
      <c r="D30" s="359"/>
      <c r="E30" s="268"/>
      <c r="F30" s="268"/>
      <c r="G30" s="269"/>
      <c r="H30" s="12">
        <f t="shared" si="0"/>
        <v>0</v>
      </c>
      <c r="I30" s="13">
        <f t="shared" si="1"/>
        <v>0</v>
      </c>
      <c r="J30" s="190"/>
      <c r="L30" s="39" t="str">
        <f>'08'!L30</f>
        <v>Zuschläge</v>
      </c>
      <c r="M30" s="34"/>
      <c r="N30" s="34"/>
      <c r="O30" s="38"/>
      <c r="P30" s="45"/>
      <c r="Q30" s="52">
        <f>SUM(P27:P28)</f>
        <v>0</v>
      </c>
    </row>
    <row r="31" spans="2:17" ht="15">
      <c r="B31" s="15">
        <f t="shared" si="2"/>
        <v>44005</v>
      </c>
      <c r="C31" s="154"/>
      <c r="D31" s="359"/>
      <c r="E31" s="268"/>
      <c r="F31" s="268"/>
      <c r="G31" s="269"/>
      <c r="H31" s="12">
        <f t="shared" si="0"/>
        <v>0</v>
      </c>
      <c r="I31" s="13">
        <f t="shared" si="1"/>
        <v>0</v>
      </c>
      <c r="J31" s="190"/>
      <c r="L31" s="34"/>
      <c r="M31" s="34"/>
      <c r="N31" s="34"/>
      <c r="O31" s="38"/>
      <c r="P31" s="45"/>
      <c r="Q31" s="46"/>
    </row>
    <row r="32" spans="2:17" ht="15">
      <c r="B32" s="15">
        <f t="shared" si="2"/>
        <v>44006</v>
      </c>
      <c r="C32" s="154"/>
      <c r="D32" s="359"/>
      <c r="E32" s="268"/>
      <c r="F32" s="268"/>
      <c r="G32" s="269"/>
      <c r="H32" s="12">
        <f t="shared" si="0"/>
        <v>0</v>
      </c>
      <c r="I32" s="13">
        <f t="shared" si="1"/>
        <v>0</v>
      </c>
      <c r="J32" s="190"/>
      <c r="L32" s="39" t="str">
        <f>'08'!L32</f>
        <v>Netto-Auszahlung</v>
      </c>
      <c r="M32" s="34"/>
      <c r="N32" s="34"/>
      <c r="O32" s="38"/>
      <c r="P32" s="45"/>
      <c r="Q32" s="53" t="e">
        <f>Q13+Q30-Q24</f>
        <v>#N/A</v>
      </c>
    </row>
    <row r="33" spans="2:17" ht="15">
      <c r="B33" s="15">
        <f t="shared" si="2"/>
        <v>44007</v>
      </c>
      <c r="C33" s="154"/>
      <c r="D33" s="359"/>
      <c r="E33" s="268"/>
      <c r="F33" s="268"/>
      <c r="G33" s="269"/>
      <c r="H33" s="12">
        <f t="shared" si="0"/>
        <v>0</v>
      </c>
      <c r="I33" s="13">
        <f t="shared" si="1"/>
        <v>0</v>
      </c>
      <c r="J33" s="190"/>
      <c r="L33" s="34"/>
      <c r="M33" s="386" t="str">
        <f>'08'!M33</f>
        <v>aktueller
Monat</v>
      </c>
      <c r="N33" s="386" t="str">
        <f>'08'!N33</f>
        <v>Summe der
Vormonate</v>
      </c>
      <c r="O33" s="386" t="str">
        <f>'08'!O33</f>
        <v>Jahresvor-
anschlag:</v>
      </c>
      <c r="P33" s="510"/>
      <c r="Q33" s="386" t="str">
        <f>'08'!Q33</f>
        <v>Aktueller
Saldo</v>
      </c>
    </row>
    <row r="34" spans="2:17" ht="15">
      <c r="B34" s="15">
        <f t="shared" si="2"/>
        <v>44008</v>
      </c>
      <c r="C34" s="154"/>
      <c r="D34" s="359"/>
      <c r="E34" s="268"/>
      <c r="F34" s="268"/>
      <c r="G34" s="269"/>
      <c r="H34" s="12">
        <f t="shared" si="0"/>
        <v>0</v>
      </c>
      <c r="I34" s="13">
        <f t="shared" si="1"/>
        <v>0</v>
      </c>
      <c r="J34" s="190"/>
      <c r="L34" s="56" t="str">
        <f>'08'!L34</f>
        <v>Tagesabrechnung</v>
      </c>
      <c r="M34" s="387">
        <f>'08'!M34</f>
        <v>0</v>
      </c>
      <c r="N34" s="387">
        <f>'08'!N34</f>
        <v>0</v>
      </c>
      <c r="O34" s="387">
        <f>'08'!O34</f>
        <v>0</v>
      </c>
      <c r="P34" s="510"/>
      <c r="Q34" s="387">
        <f>'08'!Q34</f>
        <v>0</v>
      </c>
    </row>
    <row r="35" spans="2:17" ht="15">
      <c r="B35" s="15">
        <f t="shared" si="2"/>
        <v>44009</v>
      </c>
      <c r="C35" s="154"/>
      <c r="D35" s="359"/>
      <c r="E35" s="268"/>
      <c r="F35" s="268"/>
      <c r="G35" s="269"/>
      <c r="H35" s="12">
        <f t="shared" si="0"/>
        <v>0</v>
      </c>
      <c r="I35" s="13">
        <f t="shared" si="1"/>
        <v>0</v>
      </c>
      <c r="J35" s="190"/>
      <c r="L35" s="287" t="str">
        <f>'08'!L35</f>
        <v>Arbeit:</v>
      </c>
      <c r="M35" s="262">
        <f aca="true" t="shared" si="3" ref="M35:N38">H43</f>
        <v>0</v>
      </c>
      <c r="N35" s="262">
        <f t="shared" si="3"/>
        <v>0</v>
      </c>
      <c r="O35" s="262" t="e">
        <f>NJ_Travail</f>
        <v>#N/A</v>
      </c>
      <c r="Q35" s="263" t="e">
        <f aca="true" t="shared" si="4" ref="Q35:Q42">O35-N35-M35</f>
        <v>#N/A</v>
      </c>
    </row>
    <row r="36" spans="2:17" ht="15">
      <c r="B36" s="15">
        <f t="shared" si="2"/>
        <v>44010</v>
      </c>
      <c r="C36" s="154"/>
      <c r="D36" s="359"/>
      <c r="E36" s="268"/>
      <c r="F36" s="268"/>
      <c r="G36" s="269"/>
      <c r="H36" s="12">
        <f t="shared" si="0"/>
        <v>0</v>
      </c>
      <c r="I36" s="13">
        <f t="shared" si="1"/>
        <v>0</v>
      </c>
      <c r="J36" s="190"/>
      <c r="L36" s="287" t="str">
        <f>'08'!L36</f>
        <v>Schultage:</v>
      </c>
      <c r="M36" s="178">
        <f t="shared" si="3"/>
        <v>0</v>
      </c>
      <c r="N36" s="178">
        <f t="shared" si="3"/>
        <v>0</v>
      </c>
      <c r="O36" s="178" t="e">
        <f>NJ_CoursProf</f>
        <v>#N/A</v>
      </c>
      <c r="Q36" s="179" t="e">
        <f t="shared" si="4"/>
        <v>#N/A</v>
      </c>
    </row>
    <row r="37" spans="2:17" ht="15">
      <c r="B37" s="15">
        <f t="shared" si="2"/>
        <v>44011</v>
      </c>
      <c r="C37" s="154"/>
      <c r="D37" s="359"/>
      <c r="E37" s="268"/>
      <c r="F37" s="268"/>
      <c r="G37" s="269"/>
      <c r="H37" s="12">
        <f t="shared" si="0"/>
        <v>0</v>
      </c>
      <c r="I37" s="13">
        <f t="shared" si="1"/>
        <v>0</v>
      </c>
      <c r="J37" s="190"/>
      <c r="L37" s="287" t="str">
        <f>'08'!L37</f>
        <v>üK:</v>
      </c>
      <c r="M37" s="178">
        <f t="shared" si="3"/>
        <v>0</v>
      </c>
      <c r="N37" s="178">
        <f t="shared" si="3"/>
        <v>0</v>
      </c>
      <c r="O37" s="178" t="e">
        <f>NJ_CoursIE</f>
        <v>#N/A</v>
      </c>
      <c r="Q37" s="179" t="e">
        <f t="shared" si="4"/>
        <v>#N/A</v>
      </c>
    </row>
    <row r="38" spans="2:17" ht="15">
      <c r="B38" s="15">
        <f t="shared" si="2"/>
        <v>44012</v>
      </c>
      <c r="C38" s="154"/>
      <c r="D38" s="359"/>
      <c r="E38" s="268"/>
      <c r="F38" s="268"/>
      <c r="G38" s="269"/>
      <c r="H38" s="12">
        <f t="shared" si="0"/>
        <v>0</v>
      </c>
      <c r="I38" s="13">
        <f t="shared" si="1"/>
        <v>0</v>
      </c>
      <c r="J38" s="190"/>
      <c r="L38" s="287" t="str">
        <f>'08'!L38</f>
        <v>Militär:</v>
      </c>
      <c r="M38" s="178">
        <f t="shared" si="3"/>
        <v>0</v>
      </c>
      <c r="N38" s="178">
        <f t="shared" si="3"/>
        <v>0</v>
      </c>
      <c r="O38" s="178">
        <f>NJ_Bloc</f>
        <v>0</v>
      </c>
      <c r="Q38" s="179">
        <f t="shared" si="4"/>
        <v>0</v>
      </c>
    </row>
    <row r="39" spans="2:17" ht="15.75" thickBot="1">
      <c r="B39" s="57"/>
      <c r="C39" s="180"/>
      <c r="D39" s="360"/>
      <c r="E39" s="348"/>
      <c r="F39" s="348"/>
      <c r="G39" s="349"/>
      <c r="H39" s="356">
        <f t="shared" si="0"/>
        <v>0</v>
      </c>
      <c r="I39" s="356">
        <f t="shared" si="1"/>
        <v>0</v>
      </c>
      <c r="J39" s="191"/>
      <c r="L39" s="287" t="str">
        <f>'08'!L39</f>
        <v>Frei:</v>
      </c>
      <c r="M39" s="262">
        <f aca="true" t="shared" si="5" ref="M39:N42">H47</f>
        <v>0</v>
      </c>
      <c r="N39" s="262">
        <f t="shared" si="5"/>
        <v>0</v>
      </c>
      <c r="O39" s="262" t="e">
        <f>NJ_Conge</f>
        <v>#N/A</v>
      </c>
      <c r="Q39" s="263" t="e">
        <f t="shared" si="4"/>
        <v>#N/A</v>
      </c>
    </row>
    <row r="40" spans="2:17" ht="15.75" thickBot="1">
      <c r="B40" s="335" t="str">
        <f>'08'!B40</f>
        <v>Total</v>
      </c>
      <c r="C40" s="336">
        <f>COUNTIF(C9:C39,"a")+COUNTIF(C9:C39,"b")+COUNTIF(C9:C39,"c")+COUNTIF(C9:C39,"d")+COUNTIF(C9:C39,"e")+COUNTIF(C9:C39,"f")+COUNTIF(C9:C39,"g")+COUNTIF(C9:C39,"h")+COUNTIF(C9:C39,"i")</f>
        <v>0</v>
      </c>
      <c r="D40" s="17">
        <f aca="true" t="shared" si="6" ref="D40:I40">SUM(D9:D39)</f>
        <v>0</v>
      </c>
      <c r="E40" s="18">
        <f t="shared" si="6"/>
        <v>0</v>
      </c>
      <c r="F40" s="18">
        <f t="shared" si="6"/>
        <v>0</v>
      </c>
      <c r="G40" s="19">
        <f t="shared" si="6"/>
        <v>0</v>
      </c>
      <c r="H40" s="20">
        <f t="shared" si="6"/>
        <v>0</v>
      </c>
      <c r="I40" s="21">
        <f t="shared" si="6"/>
        <v>0</v>
      </c>
      <c r="J40" s="337" t="e">
        <f>INT(((Sa_NatureMensuel/H42*C40)*20)+0.5)/20</f>
        <v>#N/A</v>
      </c>
      <c r="L40" s="288" t="str">
        <f>'08'!L40</f>
        <v>Ferien:</v>
      </c>
      <c r="M40" s="289">
        <f t="shared" si="5"/>
        <v>0</v>
      </c>
      <c r="N40" s="289">
        <f t="shared" si="5"/>
        <v>0</v>
      </c>
      <c r="O40" s="289" t="e">
        <f>NJ_Vacances</f>
        <v>#N/A</v>
      </c>
      <c r="Q40" s="290" t="e">
        <f t="shared" si="4"/>
        <v>#N/A</v>
      </c>
    </row>
    <row r="41" spans="2:17" ht="15.75" thickBot="1">
      <c r="B41" s="452"/>
      <c r="C41" s="453"/>
      <c r="D41" s="453"/>
      <c r="E41" s="453"/>
      <c r="F41" s="453"/>
      <c r="G41" s="506"/>
      <c r="H41" s="286">
        <f>B3</f>
        <v>43983</v>
      </c>
      <c r="I41" s="22" t="str">
        <f>'08'!I41</f>
        <v>Total</v>
      </c>
      <c r="J41" s="23"/>
      <c r="L41" s="288" t="str">
        <f>'08'!L41</f>
        <v>Unfall:</v>
      </c>
      <c r="M41" s="289">
        <f t="shared" si="5"/>
        <v>0</v>
      </c>
      <c r="N41" s="289">
        <f t="shared" si="5"/>
        <v>0</v>
      </c>
      <c r="O41" s="289">
        <v>0</v>
      </c>
      <c r="Q41" s="290">
        <f t="shared" si="4"/>
        <v>0</v>
      </c>
    </row>
    <row r="42" spans="2:17" ht="15">
      <c r="B42" s="408" t="str">
        <f>'08'!B42</f>
        <v>Tagesabrechnung</v>
      </c>
      <c r="C42" s="409" t="e">
        <f>'08'!C42</f>
        <v>#N/A</v>
      </c>
      <c r="D42" s="409" t="e">
        <f>'08'!D42</f>
        <v>#REF!</v>
      </c>
      <c r="E42" s="409" t="e">
        <f>'08'!E42</f>
        <v>#REF!</v>
      </c>
      <c r="F42" s="409" t="e">
        <f>'08'!F42</f>
        <v>#REF!</v>
      </c>
      <c r="G42" s="410" t="e">
        <f>'08'!G42</f>
        <v>#REF!</v>
      </c>
      <c r="H42" s="24">
        <v>30</v>
      </c>
      <c r="I42" s="25">
        <f>SUM('05'!H42:I42)</f>
        <v>305</v>
      </c>
      <c r="J42" s="26"/>
      <c r="L42" s="287" t="str">
        <f>'08'!L42</f>
        <v>Krankheit:</v>
      </c>
      <c r="M42" s="178">
        <f t="shared" si="5"/>
        <v>0</v>
      </c>
      <c r="N42" s="178">
        <f t="shared" si="5"/>
        <v>0</v>
      </c>
      <c r="O42" s="178">
        <v>0</v>
      </c>
      <c r="Q42" s="179">
        <f t="shared" si="4"/>
        <v>0</v>
      </c>
    </row>
    <row r="43" spans="2:10" ht="15">
      <c r="B43" s="402" t="str">
        <f>'08'!B43</f>
        <v>Arbeitstage ( a )</v>
      </c>
      <c r="C43" s="403" t="e">
        <f>'08'!C43</f>
        <v>#N/A</v>
      </c>
      <c r="D43" s="403" t="e">
        <f>'08'!D43</f>
        <v>#REF!</v>
      </c>
      <c r="E43" s="403" t="e">
        <f>'08'!E43</f>
        <v>#REF!</v>
      </c>
      <c r="F43" s="403" t="e">
        <f>'08'!F43</f>
        <v>#REF!</v>
      </c>
      <c r="G43" s="404" t="e">
        <f>'08'!G43</f>
        <v>#REF!</v>
      </c>
      <c r="H43" s="27">
        <f>COUNTIF(C9:C39,"a")+COUNTIF(C9:C39,"f")/2</f>
        <v>0</v>
      </c>
      <c r="I43" s="28">
        <f>SUM('05'!H43:I43)</f>
        <v>0</v>
      </c>
      <c r="J43" s="29"/>
    </row>
    <row r="44" spans="2:17" ht="15">
      <c r="B44" s="402" t="str">
        <f>'08'!B44</f>
        <v>Schultage ( b )</v>
      </c>
      <c r="C44" s="403" t="e">
        <f>'08'!C44</f>
        <v>#N/A</v>
      </c>
      <c r="D44" s="403" t="e">
        <f>'08'!D44</f>
        <v>#REF!</v>
      </c>
      <c r="E44" s="403" t="e">
        <f>'08'!E44</f>
        <v>#REF!</v>
      </c>
      <c r="F44" s="403" t="e">
        <f>'08'!F44</f>
        <v>#REF!</v>
      </c>
      <c r="G44" s="404" t="e">
        <f>'08'!G44</f>
        <v>#REF!</v>
      </c>
      <c r="H44" s="27">
        <f>COUNTIF(C9:C39,"b")</f>
        <v>0</v>
      </c>
      <c r="I44" s="28">
        <f>SUM('05'!H44:I44)</f>
        <v>0</v>
      </c>
      <c r="J44" s="29"/>
      <c r="L44" s="38" t="str">
        <f>'08'!L44</f>
        <v>Bemerkungen:</v>
      </c>
      <c r="M44" s="513"/>
      <c r="N44" s="514"/>
      <c r="O44" s="514"/>
      <c r="P44" s="514"/>
      <c r="Q44" s="515"/>
    </row>
    <row r="45" spans="2:17" ht="15">
      <c r="B45" s="402" t="str">
        <f>'08'!B45</f>
        <v>überbetriebliche Kurse ( c )</v>
      </c>
      <c r="C45" s="403" t="e">
        <f>'08'!C45</f>
        <v>#N/A</v>
      </c>
      <c r="D45" s="403" t="e">
        <f>'08'!D45</f>
        <v>#REF!</v>
      </c>
      <c r="E45" s="403" t="e">
        <f>'08'!E45</f>
        <v>#REF!</v>
      </c>
      <c r="F45" s="403" t="e">
        <f>'08'!F45</f>
        <v>#REF!</v>
      </c>
      <c r="G45" s="404" t="e">
        <f>'08'!G45</f>
        <v>#REF!</v>
      </c>
      <c r="H45" s="27">
        <f>COUNTIF(C9:C39,"c")</f>
        <v>0</v>
      </c>
      <c r="I45" s="28">
        <f>SUM('05'!H45:I45)</f>
        <v>0</v>
      </c>
      <c r="J45" s="29"/>
      <c r="L45" s="34"/>
      <c r="M45" s="516"/>
      <c r="N45" s="517"/>
      <c r="O45" s="517"/>
      <c r="P45" s="517"/>
      <c r="Q45" s="518"/>
    </row>
    <row r="46" spans="2:17" ht="15">
      <c r="B46" s="402" t="str">
        <f>'08'!B46</f>
        <v>Militär ( i )</v>
      </c>
      <c r="C46" s="403" t="e">
        <f>'08'!C46</f>
        <v>#N/A</v>
      </c>
      <c r="D46" s="403" t="e">
        <f>'08'!D46</f>
        <v>#REF!</v>
      </c>
      <c r="E46" s="403" t="e">
        <f>'08'!E46</f>
        <v>#REF!</v>
      </c>
      <c r="F46" s="403" t="e">
        <f>'08'!F46</f>
        <v>#REF!</v>
      </c>
      <c r="G46" s="404" t="e">
        <f>'08'!G46</f>
        <v>#REF!</v>
      </c>
      <c r="H46" s="27">
        <f>COUNTIF(C9:C39,"i")</f>
        <v>0</v>
      </c>
      <c r="I46" s="28">
        <f>SUM('05'!H46:I46)</f>
        <v>0</v>
      </c>
      <c r="J46" s="29"/>
      <c r="L46" s="34"/>
      <c r="M46" s="519"/>
      <c r="N46" s="520"/>
      <c r="O46" s="520"/>
      <c r="P46" s="520"/>
      <c r="Q46" s="521"/>
    </row>
    <row r="47" spans="2:17" ht="15">
      <c r="B47" s="402" t="str">
        <f>'08'!B47</f>
        <v>Frei ( d )</v>
      </c>
      <c r="C47" s="403" t="e">
        <f>'08'!C47</f>
        <v>#N/A</v>
      </c>
      <c r="D47" s="403" t="e">
        <f>'08'!D47</f>
        <v>#REF!</v>
      </c>
      <c r="E47" s="403" t="e">
        <f>'08'!E47</f>
        <v>#REF!</v>
      </c>
      <c r="F47" s="403" t="e">
        <f>'08'!F47</f>
        <v>#REF!</v>
      </c>
      <c r="G47" s="404" t="e">
        <f>'08'!G47</f>
        <v>#REF!</v>
      </c>
      <c r="H47" s="27">
        <f>COUNTIF(C9:C39,"d")+COUNTIF(C9:C39,"f")/2</f>
        <v>0</v>
      </c>
      <c r="I47" s="28">
        <f>SUM('05'!H47:I47)</f>
        <v>0</v>
      </c>
      <c r="J47" s="29"/>
      <c r="L47" s="34"/>
      <c r="M47" s="34"/>
      <c r="N47" s="34"/>
      <c r="O47" s="38"/>
      <c r="P47" s="34"/>
      <c r="Q47" s="40"/>
    </row>
    <row r="48" spans="1:17" ht="15">
      <c r="A48" s="7">
        <v>289</v>
      </c>
      <c r="B48" s="402" t="str">
        <f>'08'!B48</f>
        <v>Ferien ( e )</v>
      </c>
      <c r="C48" s="403" t="e">
        <f>'08'!C48</f>
        <v>#N/A</v>
      </c>
      <c r="D48" s="403" t="e">
        <f>'08'!D48</f>
        <v>#REF!</v>
      </c>
      <c r="E48" s="403" t="e">
        <f>'08'!E48</f>
        <v>#REF!</v>
      </c>
      <c r="F48" s="403" t="e">
        <f>'08'!F48</f>
        <v>#REF!</v>
      </c>
      <c r="G48" s="404" t="e">
        <f>'08'!G48</f>
        <v>#REF!</v>
      </c>
      <c r="H48" s="27">
        <f>COUNTIF(C9:C39,"e")</f>
        <v>0</v>
      </c>
      <c r="I48" s="28">
        <f>SUM('05'!H48:I48)</f>
        <v>0</v>
      </c>
      <c r="J48" s="29"/>
      <c r="L48" s="38" t="str">
        <f>'08'!L48</f>
        <v>Datum</v>
      </c>
      <c r="M48" s="177"/>
      <c r="N48" s="34"/>
      <c r="O48" s="38" t="str">
        <f>'08'!O48</f>
        <v>Berufsbildner /in</v>
      </c>
      <c r="P48" s="54"/>
      <c r="Q48" s="55"/>
    </row>
    <row r="49" spans="1:17" ht="15">
      <c r="A49" s="7">
        <v>290</v>
      </c>
      <c r="B49" s="402" t="str">
        <f>'08'!B49</f>
        <v>Unfall ( g )</v>
      </c>
      <c r="C49" s="403" t="e">
        <f>'08'!C49</f>
        <v>#N/A</v>
      </c>
      <c r="D49" s="403" t="e">
        <f>'08'!D49</f>
        <v>#REF!</v>
      </c>
      <c r="E49" s="403" t="e">
        <f>'08'!E49</f>
        <v>#REF!</v>
      </c>
      <c r="F49" s="403" t="e">
        <f>'08'!F49</f>
        <v>#REF!</v>
      </c>
      <c r="G49" s="404" t="e">
        <f>'08'!G49</f>
        <v>#REF!</v>
      </c>
      <c r="H49" s="27">
        <f>COUNTIF(C9:C39,"g")</f>
        <v>0</v>
      </c>
      <c r="I49" s="28">
        <f>SUM('05'!H49:I49)</f>
        <v>0</v>
      </c>
      <c r="J49" s="29"/>
      <c r="L49" s="34"/>
      <c r="M49" s="34"/>
      <c r="N49" s="34"/>
      <c r="O49" s="38"/>
      <c r="P49" s="34"/>
      <c r="Q49" s="40"/>
    </row>
    <row r="50" spans="1:17" s="7" customFormat="1" ht="15.75" thickBot="1">
      <c r="A50" s="285">
        <v>291</v>
      </c>
      <c r="B50" s="383" t="str">
        <f>'08'!B50</f>
        <v>Krankheit ( h )</v>
      </c>
      <c r="C50" s="384" t="e">
        <f>'08'!C50</f>
        <v>#N/A</v>
      </c>
      <c r="D50" s="384" t="e">
        <f>'08'!D50</f>
        <v>#REF!</v>
      </c>
      <c r="E50" s="384" t="e">
        <f>'08'!E50</f>
        <v>#REF!</v>
      </c>
      <c r="F50" s="384" t="e">
        <f>'08'!F50</f>
        <v>#REF!</v>
      </c>
      <c r="G50" s="385" t="e">
        <f>'08'!G50</f>
        <v>#REF!</v>
      </c>
      <c r="H50" s="30">
        <f>COUNTIF(C9:C39,"h")</f>
        <v>0</v>
      </c>
      <c r="I50" s="31">
        <f>SUM('05'!H50:I50)</f>
        <v>0</v>
      </c>
      <c r="J50" s="32"/>
      <c r="L50" s="34"/>
      <c r="M50" s="35"/>
      <c r="N50" s="34"/>
      <c r="O50" s="38" t="str">
        <f>'08'!O50</f>
        <v>Lernende /r</v>
      </c>
      <c r="P50" s="54"/>
      <c r="Q50" s="55"/>
    </row>
    <row r="51" spans="12:17" ht="14.25">
      <c r="L51" s="34"/>
      <c r="M51" s="35"/>
      <c r="N51" s="34"/>
      <c r="O51" s="38"/>
      <c r="P51" s="54"/>
      <c r="Q51" s="55"/>
    </row>
  </sheetData>
  <sheetProtection password="83EF" sheet="1" objects="1" scenarios="1"/>
  <mergeCells count="37">
    <mergeCell ref="C2:J2"/>
    <mergeCell ref="B1:J1"/>
    <mergeCell ref="L1:Q1"/>
    <mergeCell ref="M3:N3"/>
    <mergeCell ref="O3:P3"/>
    <mergeCell ref="B3:B8"/>
    <mergeCell ref="C3:C8"/>
    <mergeCell ref="D3:D8"/>
    <mergeCell ref="E3:E8"/>
    <mergeCell ref="G3:G8"/>
    <mergeCell ref="H3:H8"/>
    <mergeCell ref="I3:I8"/>
    <mergeCell ref="F3:F8"/>
    <mergeCell ref="J3:J8"/>
    <mergeCell ref="M5:Q5"/>
    <mergeCell ref="M6:Q6"/>
    <mergeCell ref="M20:N20"/>
    <mergeCell ref="M27:N27"/>
    <mergeCell ref="M28:N28"/>
    <mergeCell ref="M7:Q7"/>
    <mergeCell ref="M8:N8"/>
    <mergeCell ref="M44:Q46"/>
    <mergeCell ref="Q33:Q34"/>
    <mergeCell ref="B46:G46"/>
    <mergeCell ref="B50:G50"/>
    <mergeCell ref="B43:G43"/>
    <mergeCell ref="B47:G47"/>
    <mergeCell ref="B44:G44"/>
    <mergeCell ref="B45:G45"/>
    <mergeCell ref="B48:G48"/>
    <mergeCell ref="B49:G49"/>
    <mergeCell ref="B41:G41"/>
    <mergeCell ref="B42:G42"/>
    <mergeCell ref="N33:N34"/>
    <mergeCell ref="M33:M34"/>
    <mergeCell ref="P33:P34"/>
    <mergeCell ref="O33:O34"/>
  </mergeCells>
  <conditionalFormatting sqref="C39:G39">
    <cfRule type="cellIs" priority="22" dxfId="8" operator="lessThan" stopIfTrue="1">
      <formula>0</formula>
    </cfRule>
    <cfRule type="cellIs" priority="23" dxfId="9" operator="greaterThan" stopIfTrue="1">
      <formula>0</formula>
    </cfRule>
    <cfRule type="expression" priority="24" dxfId="7" stopIfTrue="1">
      <formula>B39&lt;&gt;""</formula>
    </cfRule>
  </conditionalFormatting>
  <conditionalFormatting sqref="E9:E38">
    <cfRule type="cellIs" priority="38" dxfId="9" operator="lessThan" stopIfTrue="1">
      <formula>0</formula>
    </cfRule>
    <cfRule type="cellIs" priority="39" dxfId="8" operator="greaterThan" stopIfTrue="1">
      <formula>0</formula>
    </cfRule>
    <cfRule type="expression" priority="40" dxfId="7" stopIfTrue="1">
      <formula>OR(C9="a",C9="b",C9="c")</formula>
    </cfRule>
  </conditionalFormatting>
  <conditionalFormatting sqref="F9:F38">
    <cfRule type="cellIs" priority="41" dxfId="9" operator="lessThan" stopIfTrue="1">
      <formula>0</formula>
    </cfRule>
    <cfRule type="cellIs" priority="42" dxfId="8" operator="greaterThan" stopIfTrue="1">
      <formula>0</formula>
    </cfRule>
    <cfRule type="expression" priority="43" dxfId="7" stopIfTrue="1">
      <formula>OR(C9="a")</formula>
    </cfRule>
  </conditionalFormatting>
  <conditionalFormatting sqref="G9:G38">
    <cfRule type="cellIs" priority="44" dxfId="9" operator="lessThan" stopIfTrue="1">
      <formula>0</formula>
    </cfRule>
    <cfRule type="cellIs" priority="45" dxfId="8" operator="greaterThan" stopIfTrue="1">
      <formula>0</formula>
    </cfRule>
    <cfRule type="expression" priority="46" dxfId="7" stopIfTrue="1">
      <formula>OR(C9="a",C9="b",C9="c")</formula>
    </cfRule>
  </conditionalFormatting>
  <conditionalFormatting sqref="B9:B39">
    <cfRule type="expression" priority="31" dxfId="0" stopIfTrue="1">
      <formula>WEEKDAY(B9)=1</formula>
    </cfRule>
  </conditionalFormatting>
  <conditionalFormatting sqref="C9:C38">
    <cfRule type="expression" priority="48" dxfId="2" stopIfTrue="1">
      <formula>AND(C9&lt;&gt;"",C9&lt;&gt;"a",C9&lt;&gt;"b",C9&lt;&gt;"c",C9&lt;&gt;"d",C9&lt;&gt;"e",C9&lt;&gt;"f",C9&lt;&gt;"g",C9&lt;&gt;"h",C9&lt;&gt;"i")</formula>
    </cfRule>
  </conditionalFormatting>
  <conditionalFormatting sqref="D9:D38">
    <cfRule type="cellIs" priority="49" dxfId="9" operator="lessThan" stopIfTrue="1">
      <formula>0</formula>
    </cfRule>
    <cfRule type="cellIs" priority="50" dxfId="8" operator="greaterThan" stopIfTrue="1">
      <formula>0</formula>
    </cfRule>
    <cfRule type="expression" priority="51" dxfId="7" stopIfTrue="1">
      <formula>AND(C9&lt;&gt;"",OR(PN_LogisOuiNon=1,AND(PN_LogisOuiNon=2,C9&lt;&gt;"i")))</formula>
    </cfRule>
  </conditionalFormatting>
  <conditionalFormatting sqref="D9:D38">
    <cfRule type="cellIs" priority="19" dxfId="9" operator="lessThan" stopIfTrue="1">
      <formula>0</formula>
    </cfRule>
    <cfRule type="cellIs" priority="20" dxfId="8" operator="greaterThan" stopIfTrue="1">
      <formula>0</formula>
    </cfRule>
    <cfRule type="expression" priority="21" dxfId="7" stopIfTrue="1">
      <formula>AND(C9&lt;&gt;"",C9&lt;&gt;"i")</formula>
    </cfRule>
  </conditionalFormatting>
  <conditionalFormatting sqref="D9:D38">
    <cfRule type="cellIs" priority="16" dxfId="9" operator="lessThan" stopIfTrue="1">
      <formula>0</formula>
    </cfRule>
    <cfRule type="cellIs" priority="17" dxfId="8" operator="greaterThan" stopIfTrue="1">
      <formula>0</formula>
    </cfRule>
    <cfRule type="expression" priority="18" dxfId="7" stopIfTrue="1">
      <formula>AND(C9&lt;&gt;"",C9&lt;&gt;"i")</formula>
    </cfRule>
  </conditionalFormatting>
  <conditionalFormatting sqref="D9:D38">
    <cfRule type="cellIs" priority="13" dxfId="9" operator="lessThan" stopIfTrue="1">
      <formula>0</formula>
    </cfRule>
    <cfRule type="cellIs" priority="14" dxfId="8" operator="greaterThan" stopIfTrue="1">
      <formula>0</formula>
    </cfRule>
    <cfRule type="expression" priority="15" dxfId="7" stopIfTrue="1">
      <formula>AND(C9&lt;&gt;"",OR(PN_LogisOuiNon=1,AND(PN_LogisOuiNon=2,C9&lt;&gt;"i")))</formula>
    </cfRule>
  </conditionalFormatting>
  <conditionalFormatting sqref="D9:D38">
    <cfRule type="cellIs" priority="10" dxfId="9" operator="lessThan" stopIfTrue="1">
      <formula>0</formula>
    </cfRule>
    <cfRule type="cellIs" priority="11" dxfId="8" operator="greaterThan" stopIfTrue="1">
      <formula>0</formula>
    </cfRule>
    <cfRule type="expression" priority="12" dxfId="7" stopIfTrue="1">
      <formula>AND(C9&lt;&gt;"",C9&lt;&gt;"i")</formula>
    </cfRule>
  </conditionalFormatting>
  <conditionalFormatting sqref="D9:D38">
    <cfRule type="cellIs" priority="7" dxfId="9" operator="lessThan" stopIfTrue="1">
      <formula>0</formula>
    </cfRule>
    <cfRule type="cellIs" priority="8" dxfId="8" operator="greaterThan" stopIfTrue="1">
      <formula>0</formula>
    </cfRule>
    <cfRule type="expression" priority="9" dxfId="7" stopIfTrue="1">
      <formula>AND(C9&lt;&gt;"",OR(PN_LogisOuiNon=1,AND(PN_LogisOuiNon=2,C9&lt;&gt;"i")))</formula>
    </cfRule>
  </conditionalFormatting>
  <conditionalFormatting sqref="D9:D38">
    <cfRule type="cellIs" priority="4" dxfId="9" operator="lessThan" stopIfTrue="1">
      <formula>0</formula>
    </cfRule>
    <cfRule type="cellIs" priority="5" dxfId="8" operator="greaterThan" stopIfTrue="1">
      <formula>0</formula>
    </cfRule>
    <cfRule type="expression" priority="6" dxfId="7" stopIfTrue="1">
      <formula>AND(C9&lt;&gt;"",OR(PN_LogisOuiNon=1,AND(PN_LogisOuiNon=2,C9&lt;&gt;"j")))</formula>
    </cfRule>
  </conditionalFormatting>
  <conditionalFormatting sqref="H9:H38">
    <cfRule type="expression" priority="1" dxfId="6" stopIfTrue="1">
      <formula>C9="a"</formula>
    </cfRule>
    <cfRule type="expression" priority="2" dxfId="5" stopIfTrue="1">
      <formula>OR(C9="b",C9="c")</formula>
    </cfRule>
    <cfRule type="expression" priority="3" dxfId="0" stopIfTrue="1">
      <formula>OR(C9="d",C9="e")</formula>
    </cfRule>
  </conditionalFormatting>
  <hyperlinks>
    <hyperlink ref="C3:C8" location="Help_Code" display="Help_Code"/>
  </hyperlinks>
  <printOptions horizontalCentered="1" verticalCentered="1"/>
  <pageMargins left="0.3937007874015748" right="0.3937007874015748" top="0.5905511811023623" bottom="0.3937007874015748" header="0.5118110236220472" footer="0.31496062992125984"/>
  <pageSetup horizontalDpi="600" verticalDpi="600" orientation="portrait" paperSize="9" r:id="rId1"/>
  <headerFooter alignWithMargins="0">
    <oddFooter>&amp;L&amp;A&amp;RPage &amp;P</oddFooter>
  </headerFooter>
</worksheet>
</file>

<file path=xl/worksheets/sheet14.xml><?xml version="1.0" encoding="utf-8"?>
<worksheet xmlns="http://schemas.openxmlformats.org/spreadsheetml/2006/main" xmlns:r="http://schemas.openxmlformats.org/officeDocument/2006/relationships">
  <sheetPr codeName="Sheet15"/>
  <dimension ref="A1:Q51"/>
  <sheetViews>
    <sheetView zoomScalePageLayoutView="0" workbookViewId="0" topLeftCell="B1">
      <pane xSplit="1" ySplit="8" topLeftCell="C9" activePane="bottomRight" state="frozen"/>
      <selection pane="topLeft" activeCell="C9" sqref="C9"/>
      <selection pane="topRight" activeCell="C9" sqref="C9"/>
      <selection pane="bottomLeft" activeCell="C9" sqref="C9"/>
      <selection pane="bottomRight" activeCell="N19" sqref="N19"/>
    </sheetView>
  </sheetViews>
  <sheetFormatPr defaultColWidth="9.140625" defaultRowHeight="12.75"/>
  <cols>
    <col min="1" max="1" width="4.7109375" style="7" hidden="1" customWidth="1"/>
    <col min="2" max="2" width="14.7109375" style="7" customWidth="1"/>
    <col min="3" max="7" width="3.7109375" style="7" customWidth="1"/>
    <col min="8" max="9" width="8.7109375" style="8" customWidth="1"/>
    <col min="10" max="10" width="38.7109375" style="7" customWidth="1"/>
    <col min="11" max="11" width="2.7109375" style="7" hidden="1" customWidth="1"/>
    <col min="12" max="12" width="27.421875" style="9" customWidth="1"/>
    <col min="13" max="13" width="12.140625" style="9" customWidth="1"/>
    <col min="14" max="14" width="12.7109375" style="9" customWidth="1"/>
    <col min="15" max="15" width="12.7109375" style="33" customWidth="1"/>
    <col min="16" max="16" width="11.00390625" style="9" customWidth="1"/>
    <col min="17" max="17" width="12.7109375" style="9" customWidth="1"/>
    <col min="18" max="16384" width="9.140625" style="2" customWidth="1"/>
  </cols>
  <sheetData>
    <row r="1" spans="1:17" ht="17.25" thickBot="1">
      <c r="A1" s="10"/>
      <c r="B1" s="430" t="str">
        <f>'08'!B1</f>
        <v>Agenda</v>
      </c>
      <c r="C1" s="431"/>
      <c r="D1" s="431"/>
      <c r="E1" s="431"/>
      <c r="F1" s="431"/>
      <c r="G1" s="431"/>
      <c r="H1" s="431"/>
      <c r="I1" s="431"/>
      <c r="J1" s="432"/>
      <c r="K1" s="10"/>
      <c r="L1" s="433" t="str">
        <f>'08'!L1</f>
        <v>Monatliche Lohnabrechnung</v>
      </c>
      <c r="M1" s="434"/>
      <c r="N1" s="434"/>
      <c r="O1" s="434"/>
      <c r="P1" s="434"/>
      <c r="Q1" s="435"/>
    </row>
    <row r="2" spans="1:17" ht="17.25" thickBot="1">
      <c r="A2" s="10"/>
      <c r="B2" s="175" t="str">
        <f>'08'!B2</f>
        <v>Lerndende / r</v>
      </c>
      <c r="C2" s="495" t="str">
        <f>"- "&amp;TRIM(DB_Apprenti)&amp;" -"</f>
        <v>-  -</v>
      </c>
      <c r="D2" s="495"/>
      <c r="E2" s="495"/>
      <c r="F2" s="495"/>
      <c r="G2" s="495"/>
      <c r="H2" s="495"/>
      <c r="I2" s="495"/>
      <c r="J2" s="496"/>
      <c r="K2" s="10"/>
      <c r="L2" s="152"/>
      <c r="M2" s="152"/>
      <c r="N2" s="152"/>
      <c r="O2" s="152"/>
      <c r="P2" s="152"/>
      <c r="Q2" s="152"/>
    </row>
    <row r="3" spans="2:17" ht="15" customHeight="1">
      <c r="B3" s="438">
        <f>DATE(DB_Annee+1,7,1)</f>
        <v>44013</v>
      </c>
      <c r="C3" s="507" t="str">
        <f>'08'!C3</f>
        <v>[ a-b-c-d-e-f-g-h-i ]</v>
      </c>
      <c r="D3" s="444" t="str">
        <f>'08'!D3</f>
        <v>Übernachtung</v>
      </c>
      <c r="E3" s="447" t="str">
        <f>'08'!E3</f>
        <v>Morgenessen</v>
      </c>
      <c r="F3" s="447" t="str">
        <f>'08'!F3</f>
        <v>Mittagessen</v>
      </c>
      <c r="G3" s="413" t="str">
        <f>'08'!G3</f>
        <v>Abendessen</v>
      </c>
      <c r="H3" s="418" t="str">
        <f>'08'!H3</f>
        <v>Betrag Naturallohn</v>
      </c>
      <c r="I3" s="522" t="str">
        <f>'08'!I3</f>
        <v>Angepasster Betrag</v>
      </c>
      <c r="J3" s="503" t="str">
        <f>'08'!J3</f>
        <v>Kommentar
a = Arbeitstag
b = Schultag
c = überbetrieblicher Kurs (üK)
d = Freitag
e = Ferientag
f = 1/2 Arbeitstag, 1/2 Freitag
g = Unfall (ganz Tag)
h = Krankheit (ganz Tag)
i = Miltär</v>
      </c>
      <c r="L3" s="36" t="str">
        <f>'08'!L3</f>
        <v>Monat:</v>
      </c>
      <c r="M3" s="436">
        <f>B3</f>
        <v>44013</v>
      </c>
      <c r="N3" s="436"/>
      <c r="O3" s="437" t="str">
        <f>'08'!O3</f>
        <v>Jahr:</v>
      </c>
      <c r="P3" s="437">
        <f>'08'!P3</f>
        <v>0</v>
      </c>
      <c r="Q3" s="176">
        <f>B3</f>
        <v>44013</v>
      </c>
    </row>
    <row r="4" spans="1:17" ht="15">
      <c r="A4" s="10"/>
      <c r="B4" s="439"/>
      <c r="C4" s="508">
        <f>'08'!C4</f>
        <v>0</v>
      </c>
      <c r="D4" s="445">
        <f>'08'!D4</f>
        <v>0</v>
      </c>
      <c r="E4" s="448">
        <f>'08'!E4</f>
        <v>0</v>
      </c>
      <c r="F4" s="448">
        <f>'08'!F4</f>
        <v>0</v>
      </c>
      <c r="G4" s="414">
        <f>'08'!G4</f>
        <v>0</v>
      </c>
      <c r="H4" s="419">
        <f>'08'!H4</f>
        <v>0</v>
      </c>
      <c r="I4" s="523">
        <f>'08'!I4</f>
        <v>0</v>
      </c>
      <c r="J4" s="524">
        <f>'08'!J4</f>
        <v>0</v>
      </c>
      <c r="K4" s="10"/>
      <c r="L4" s="34"/>
      <c r="M4" s="34"/>
      <c r="N4" s="37"/>
      <c r="O4" s="36"/>
      <c r="P4" s="11"/>
      <c r="Q4" s="11"/>
    </row>
    <row r="5" spans="1:17" ht="15">
      <c r="A5" s="10"/>
      <c r="B5" s="439"/>
      <c r="C5" s="508">
        <f>'08'!C5</f>
        <v>0</v>
      </c>
      <c r="D5" s="445">
        <f>'08'!D5</f>
        <v>0</v>
      </c>
      <c r="E5" s="448">
        <f>'08'!E5</f>
        <v>0</v>
      </c>
      <c r="F5" s="448">
        <f>'08'!F5</f>
        <v>0</v>
      </c>
      <c r="G5" s="414">
        <f>'08'!G5</f>
        <v>0</v>
      </c>
      <c r="H5" s="419">
        <f>'08'!H5</f>
        <v>0</v>
      </c>
      <c r="I5" s="523">
        <f>'08'!I5</f>
        <v>0</v>
      </c>
      <c r="J5" s="524">
        <f>'08'!J5</f>
        <v>0</v>
      </c>
      <c r="K5" s="10"/>
      <c r="L5" s="36" t="str">
        <f>'08'!L5</f>
        <v>Berufsbildner</v>
      </c>
      <c r="M5" s="416">
        <f>TRIM(DB_Maitre)</f>
      </c>
      <c r="N5" s="416"/>
      <c r="O5" s="416"/>
      <c r="P5" s="416"/>
      <c r="Q5" s="416"/>
    </row>
    <row r="6" spans="1:17" ht="15">
      <c r="A6" s="10"/>
      <c r="B6" s="439"/>
      <c r="C6" s="508">
        <f>'08'!C6</f>
        <v>0</v>
      </c>
      <c r="D6" s="445">
        <f>'08'!D6</f>
        <v>0</v>
      </c>
      <c r="E6" s="448">
        <f>'08'!E6</f>
        <v>0</v>
      </c>
      <c r="F6" s="448">
        <f>'08'!F6</f>
        <v>0</v>
      </c>
      <c r="G6" s="414">
        <f>'08'!G6</f>
        <v>0</v>
      </c>
      <c r="H6" s="419">
        <f>'08'!H6</f>
        <v>0</v>
      </c>
      <c r="I6" s="523">
        <f>'08'!I6</f>
        <v>0</v>
      </c>
      <c r="J6" s="524">
        <f>'08'!J6</f>
        <v>0</v>
      </c>
      <c r="K6" s="10"/>
      <c r="L6" s="36" t="str">
        <f>'08'!L6</f>
        <v>Ort</v>
      </c>
      <c r="M6" s="417">
        <f>TRIM(DB_MaitreLieu)</f>
      </c>
      <c r="N6" s="417"/>
      <c r="O6" s="417"/>
      <c r="P6" s="417"/>
      <c r="Q6" s="417"/>
    </row>
    <row r="7" spans="1:17" ht="15">
      <c r="A7" s="10"/>
      <c r="B7" s="439"/>
      <c r="C7" s="508">
        <f>'08'!C7</f>
        <v>0</v>
      </c>
      <c r="D7" s="445">
        <f>'08'!D7</f>
        <v>0</v>
      </c>
      <c r="E7" s="448">
        <f>'08'!E7</f>
        <v>0</v>
      </c>
      <c r="F7" s="448">
        <f>'08'!F7</f>
        <v>0</v>
      </c>
      <c r="G7" s="414">
        <f>'08'!G7</f>
        <v>0</v>
      </c>
      <c r="H7" s="419">
        <f>'08'!H7</f>
        <v>0</v>
      </c>
      <c r="I7" s="523">
        <f>'08'!I7</f>
        <v>0</v>
      </c>
      <c r="J7" s="524">
        <f>'08'!J7</f>
        <v>0</v>
      </c>
      <c r="K7" s="10"/>
      <c r="L7" s="36" t="str">
        <f>'08'!L7</f>
        <v>Lernende / r</v>
      </c>
      <c r="M7" s="417">
        <f>TRIM(DB_Apprenti)</f>
      </c>
      <c r="N7" s="417"/>
      <c r="O7" s="417"/>
      <c r="P7" s="417"/>
      <c r="Q7" s="417"/>
    </row>
    <row r="8" spans="2:17" ht="15.75" thickBot="1">
      <c r="B8" s="440"/>
      <c r="C8" s="509">
        <f>'08'!C8</f>
        <v>0</v>
      </c>
      <c r="D8" s="446">
        <f>'08'!D8</f>
        <v>0</v>
      </c>
      <c r="E8" s="449">
        <f>'08'!E8</f>
        <v>0</v>
      </c>
      <c r="F8" s="449">
        <f>'08'!F8</f>
        <v>0</v>
      </c>
      <c r="G8" s="415">
        <f>'08'!G8</f>
        <v>0</v>
      </c>
      <c r="H8" s="420">
        <f>'08'!H8</f>
        <v>0</v>
      </c>
      <c r="I8" s="423">
        <f>'08'!I8</f>
        <v>0</v>
      </c>
      <c r="J8" s="525">
        <f>'08'!J8</f>
        <v>0</v>
      </c>
      <c r="L8" s="36" t="str">
        <f>'08'!L8</f>
        <v>AHV-Nummer</v>
      </c>
      <c r="M8" s="417">
        <f>TRIM(DB_AVS)</f>
      </c>
      <c r="N8" s="417"/>
      <c r="P8" s="3" t="str">
        <f>'08'!P8</f>
        <v>Geburtsdatum</v>
      </c>
      <c r="Q8" s="42">
        <f>IF(DB_DateNaissance=0,"",DB_DateNaissance)</f>
      </c>
    </row>
    <row r="9" spans="2:11" ht="15">
      <c r="B9" s="87">
        <f>B3</f>
        <v>44013</v>
      </c>
      <c r="C9" s="154"/>
      <c r="D9" s="359"/>
      <c r="E9" s="268"/>
      <c r="F9" s="268"/>
      <c r="G9" s="269"/>
      <c r="H9" s="12">
        <f aca="true" t="shared" si="0" ref="H9:H39">MAX(IF(C9="a",PN_Travail,IF(C9="b",PN_CoursProf,IF(C9="c",PN_CoursIE,IF(C9="d",PN_Conge,0)))),IF(C9="e",PN_Vacances,IF(C9="f",PN_DemiJour,IF(C9="g",PN_Accident,IF(C9="h",PN_Maladie,IF(C9="i",PN_Armee,0))))))</f>
        <v>0</v>
      </c>
      <c r="I9" s="13">
        <f aca="true" t="shared" si="1" ref="I9:I39">H9+D9*PN_Logis_Plus+E9*PN_Dejeuner_Plus+F9*PN_Diner_Plus+G9*PN_Souper_Plus</f>
        <v>0</v>
      </c>
      <c r="J9" s="161"/>
      <c r="K9" s="14"/>
    </row>
    <row r="10" spans="2:10" ht="15">
      <c r="B10" s="15">
        <f>B9+1</f>
        <v>44014</v>
      </c>
      <c r="C10" s="154"/>
      <c r="D10" s="359"/>
      <c r="E10" s="268"/>
      <c r="F10" s="268"/>
      <c r="G10" s="269"/>
      <c r="H10" s="12">
        <f t="shared" si="0"/>
        <v>0</v>
      </c>
      <c r="I10" s="13">
        <f t="shared" si="1"/>
        <v>0</v>
      </c>
      <c r="J10" s="190"/>
    </row>
    <row r="11" spans="1:17" ht="15">
      <c r="A11" s="163">
        <v>230</v>
      </c>
      <c r="B11" s="15">
        <f aca="true" t="shared" si="2" ref="B11:B39">B10+1</f>
        <v>44015</v>
      </c>
      <c r="C11" s="154"/>
      <c r="D11" s="359"/>
      <c r="E11" s="268"/>
      <c r="F11" s="268"/>
      <c r="G11" s="269"/>
      <c r="H11" s="12">
        <f t="shared" si="0"/>
        <v>0</v>
      </c>
      <c r="I11" s="13">
        <f t="shared" si="1"/>
        <v>0</v>
      </c>
      <c r="J11" s="190"/>
      <c r="L11" s="39" t="str">
        <f>'08'!L11</f>
        <v>Bruttolohn  </v>
      </c>
      <c r="M11" s="34" t="e">
        <f>IF(PN_EffMoy=0,SUBSTITUTE(VLOOKUP(A11+1,Tb_Traduction,DB_Langue,FALSE),"***",TEXT(J40,"0.00")),"")</f>
        <v>#N/A</v>
      </c>
      <c r="N11" s="34"/>
      <c r="O11" s="38"/>
      <c r="P11" s="45"/>
      <c r="Q11" s="49" t="e">
        <f>IF(OR(PN_EffMoy=0,Nb_Mois&lt;&gt;12),Sa_BaseMensuelArrondi/H42*C40,Sa_BaseMensuelArrondi)</f>
        <v>#N/A</v>
      </c>
    </row>
    <row r="12" spans="2:17" ht="15">
      <c r="B12" s="15">
        <f t="shared" si="2"/>
        <v>44016</v>
      </c>
      <c r="C12" s="154"/>
      <c r="D12" s="359"/>
      <c r="E12" s="268"/>
      <c r="F12" s="268"/>
      <c r="G12" s="269"/>
      <c r="H12" s="12">
        <f t="shared" si="0"/>
        <v>0</v>
      </c>
      <c r="I12" s="13">
        <f t="shared" si="1"/>
        <v>0</v>
      </c>
      <c r="J12" s="190"/>
      <c r="L12" s="9" t="str">
        <f>'08'!L12</f>
        <v>Prämie, Bonus, Gratifikation</v>
      </c>
      <c r="Q12" s="155"/>
    </row>
    <row r="13" spans="2:17" ht="15">
      <c r="B13" s="15">
        <f t="shared" si="2"/>
        <v>44017</v>
      </c>
      <c r="C13" s="154"/>
      <c r="D13" s="359"/>
      <c r="E13" s="268"/>
      <c r="F13" s="268"/>
      <c r="G13" s="269"/>
      <c r="H13" s="12">
        <f t="shared" si="0"/>
        <v>0</v>
      </c>
      <c r="I13" s="13">
        <f t="shared" si="1"/>
        <v>0</v>
      </c>
      <c r="J13" s="190"/>
      <c r="L13" s="88" t="str">
        <f>'08'!L13</f>
        <v>Bruttolohn total</v>
      </c>
      <c r="Q13" s="89" t="e">
        <f>SUM(Q11:Q12)</f>
        <v>#N/A</v>
      </c>
    </row>
    <row r="14" spans="2:10" ht="15">
      <c r="B14" s="15">
        <f t="shared" si="2"/>
        <v>44018</v>
      </c>
      <c r="C14" s="154"/>
      <c r="D14" s="359"/>
      <c r="E14" s="268"/>
      <c r="F14" s="268"/>
      <c r="G14" s="269"/>
      <c r="H14" s="12">
        <f t="shared" si="0"/>
        <v>0</v>
      </c>
      <c r="I14" s="13">
        <f t="shared" si="1"/>
        <v>0</v>
      </c>
      <c r="J14" s="190"/>
    </row>
    <row r="15" spans="2:17" ht="15">
      <c r="B15" s="15">
        <f t="shared" si="2"/>
        <v>44019</v>
      </c>
      <c r="C15" s="154"/>
      <c r="D15" s="359"/>
      <c r="E15" s="268"/>
      <c r="F15" s="268"/>
      <c r="G15" s="269"/>
      <c r="H15" s="12">
        <f t="shared" si="0"/>
        <v>0</v>
      </c>
      <c r="I15" s="13">
        <f t="shared" si="1"/>
        <v>0</v>
      </c>
      <c r="J15" s="190"/>
      <c r="L15" s="39" t="str">
        <f>'08'!L15</f>
        <v>Abzüge</v>
      </c>
      <c r="M15" s="11" t="str">
        <f>'08'!M15</f>
        <v>Anteil</v>
      </c>
      <c r="N15" s="11" t="s">
        <v>37</v>
      </c>
      <c r="O15" s="38"/>
      <c r="P15" s="45"/>
      <c r="Q15" s="46"/>
    </row>
    <row r="16" spans="2:17" ht="15">
      <c r="B16" s="15">
        <f t="shared" si="2"/>
        <v>44020</v>
      </c>
      <c r="C16" s="154"/>
      <c r="D16" s="359"/>
      <c r="E16" s="268"/>
      <c r="F16" s="268"/>
      <c r="G16" s="269"/>
      <c r="H16" s="12">
        <f t="shared" si="0"/>
        <v>0</v>
      </c>
      <c r="I16" s="13">
        <f t="shared" si="1"/>
        <v>0</v>
      </c>
      <c r="J16" s="190"/>
      <c r="L16" s="48" t="str">
        <f>'08'!L16</f>
        <v>Beiträge AHV, IV, EO*:</v>
      </c>
      <c r="M16" s="43" t="s">
        <v>50</v>
      </c>
      <c r="N16" s="44">
        <f>IF(B3&gt;=DB_SoumisAVS,RS_AVS_Plus,0)</f>
        <v>0.05125</v>
      </c>
      <c r="O16" s="38"/>
      <c r="P16" s="50" t="e">
        <f>$Q$13*N16</f>
        <v>#N/A</v>
      </c>
      <c r="Q16" s="46"/>
    </row>
    <row r="17" spans="2:17" ht="15">
      <c r="B17" s="15">
        <f t="shared" si="2"/>
        <v>44021</v>
      </c>
      <c r="C17" s="154"/>
      <c r="D17" s="359"/>
      <c r="E17" s="268"/>
      <c r="F17" s="268"/>
      <c r="G17" s="269"/>
      <c r="H17" s="12">
        <f t="shared" si="0"/>
        <v>0</v>
      </c>
      <c r="I17" s="13">
        <f t="shared" si="1"/>
        <v>0</v>
      </c>
      <c r="J17" s="190"/>
      <c r="L17" s="48" t="str">
        <f>'08'!L17</f>
        <v>Beiträge ALV*:</v>
      </c>
      <c r="M17" s="43" t="s">
        <v>50</v>
      </c>
      <c r="N17" s="44">
        <f>IF(B3&gt;=DB_SoumisAVS,RS_AC_Plus,0)</f>
        <v>0.011</v>
      </c>
      <c r="O17" s="38"/>
      <c r="P17" s="50" t="e">
        <f>$Q$13*N17</f>
        <v>#N/A</v>
      </c>
      <c r="Q17" s="46"/>
    </row>
    <row r="18" spans="2:17" ht="15">
      <c r="B18" s="15">
        <f t="shared" si="2"/>
        <v>44022</v>
      </c>
      <c r="C18" s="154"/>
      <c r="D18" s="359"/>
      <c r="E18" s="268"/>
      <c r="F18" s="268"/>
      <c r="G18" s="269"/>
      <c r="H18" s="12">
        <f t="shared" si="0"/>
        <v>0</v>
      </c>
      <c r="I18" s="13">
        <f t="shared" si="1"/>
        <v>0</v>
      </c>
      <c r="J18" s="190"/>
      <c r="L18" s="48" t="str">
        <f>'08'!L18</f>
        <v>Nichtbetriebsunfall:</v>
      </c>
      <c r="M18" s="43" t="s">
        <v>244</v>
      </c>
      <c r="N18" s="44">
        <f>RS_ANP_Plus</f>
        <v>0.01641</v>
      </c>
      <c r="O18" s="38"/>
      <c r="P18" s="51" t="e">
        <f>$Q$13*N18</f>
        <v>#N/A</v>
      </c>
      <c r="Q18" s="46"/>
    </row>
    <row r="19" spans="2:17" ht="15">
      <c r="B19" s="15">
        <f t="shared" si="2"/>
        <v>44023</v>
      </c>
      <c r="C19" s="154"/>
      <c r="D19" s="359"/>
      <c r="E19" s="268"/>
      <c r="F19" s="268"/>
      <c r="G19" s="269"/>
      <c r="H19" s="12">
        <f t="shared" si="0"/>
        <v>0</v>
      </c>
      <c r="I19" s="13">
        <f t="shared" si="1"/>
        <v>0</v>
      </c>
      <c r="J19" s="190"/>
      <c r="L19" s="48" t="str">
        <f>'08'!L19</f>
        <v>Krankentaggeld:</v>
      </c>
      <c r="M19" s="43" t="s">
        <v>50</v>
      </c>
      <c r="N19" s="44">
        <f>RS_MC_Plus</f>
        <v>0.0044</v>
      </c>
      <c r="O19" s="38"/>
      <c r="P19" s="50" t="e">
        <f>$Q$13*N19</f>
        <v>#N/A</v>
      </c>
      <c r="Q19" s="46"/>
    </row>
    <row r="20" spans="2:16" ht="15">
      <c r="B20" s="15">
        <f t="shared" si="2"/>
        <v>44024</v>
      </c>
      <c r="C20" s="154"/>
      <c r="D20" s="359"/>
      <c r="E20" s="268"/>
      <c r="F20" s="268"/>
      <c r="G20" s="269"/>
      <c r="H20" s="12">
        <f t="shared" si="0"/>
        <v>0</v>
      </c>
      <c r="I20" s="13">
        <f t="shared" si="1"/>
        <v>0</v>
      </c>
      <c r="J20" s="190"/>
      <c r="L20" s="48" t="str">
        <f>'08'!L20</f>
        <v>Anderer Abzug:</v>
      </c>
      <c r="M20" s="511"/>
      <c r="N20" s="511"/>
      <c r="O20" s="38"/>
      <c r="P20" s="160"/>
    </row>
    <row r="21" spans="2:16" ht="15">
      <c r="B21" s="15">
        <f t="shared" si="2"/>
        <v>44025</v>
      </c>
      <c r="C21" s="154"/>
      <c r="D21" s="359"/>
      <c r="E21" s="268"/>
      <c r="F21" s="268"/>
      <c r="G21" s="269"/>
      <c r="H21" s="12">
        <f t="shared" si="0"/>
        <v>0</v>
      </c>
      <c r="I21" s="13">
        <f t="shared" si="1"/>
        <v>0</v>
      </c>
      <c r="J21" s="190"/>
      <c r="L21" s="38" t="e">
        <f>'08'!L21</f>
        <v>#N/A</v>
      </c>
      <c r="M21" s="34"/>
      <c r="N21" s="34"/>
      <c r="O21" s="38"/>
      <c r="P21" s="50" t="e">
        <f>IF(PN_EffMoy=0,I40,IF(Nb_Mois=12,Sa_NatureMensuelArrondi,Sa_NatureMensuelArrondi*C40/H42))</f>
        <v>#N/A</v>
      </c>
    </row>
    <row r="22" spans="2:16" ht="15">
      <c r="B22" s="15">
        <f t="shared" si="2"/>
        <v>44026</v>
      </c>
      <c r="C22" s="154"/>
      <c r="D22" s="359"/>
      <c r="E22" s="268"/>
      <c r="F22" s="268"/>
      <c r="G22" s="269"/>
      <c r="H22" s="12">
        <f t="shared" si="0"/>
        <v>0</v>
      </c>
      <c r="I22" s="13">
        <f t="shared" si="1"/>
        <v>0</v>
      </c>
      <c r="J22" s="190"/>
      <c r="L22" s="41" t="str">
        <f>'08'!L22</f>
        <v>*) sofern pflichtig</v>
      </c>
      <c r="P22" s="47"/>
    </row>
    <row r="23" spans="2:17" ht="15">
      <c r="B23" s="15">
        <f t="shared" si="2"/>
        <v>44027</v>
      </c>
      <c r="C23" s="154"/>
      <c r="D23" s="359"/>
      <c r="E23" s="268"/>
      <c r="F23" s="268"/>
      <c r="G23" s="269"/>
      <c r="H23" s="12">
        <f t="shared" si="0"/>
        <v>0</v>
      </c>
      <c r="I23" s="13">
        <f t="shared" si="1"/>
        <v>0</v>
      </c>
      <c r="J23" s="190"/>
      <c r="Q23" s="46"/>
    </row>
    <row r="24" spans="2:17" ht="15">
      <c r="B24" s="15">
        <f t="shared" si="2"/>
        <v>44028</v>
      </c>
      <c r="C24" s="154"/>
      <c r="D24" s="359"/>
      <c r="E24" s="268"/>
      <c r="F24" s="268"/>
      <c r="G24" s="269"/>
      <c r="H24" s="12">
        <f t="shared" si="0"/>
        <v>0</v>
      </c>
      <c r="I24" s="13">
        <f t="shared" si="1"/>
        <v>0</v>
      </c>
      <c r="J24" s="190"/>
      <c r="L24" s="39" t="str">
        <f>'08'!L24</f>
        <v>Total Abzüge</v>
      </c>
      <c r="Q24" s="49" t="e">
        <f>INT((SUM(P16:P21)*20)+0.5)/20</f>
        <v>#N/A</v>
      </c>
    </row>
    <row r="25" spans="2:17" ht="15">
      <c r="B25" s="15">
        <f t="shared" si="2"/>
        <v>44029</v>
      </c>
      <c r="C25" s="154"/>
      <c r="D25" s="359"/>
      <c r="E25" s="268"/>
      <c r="F25" s="268"/>
      <c r="G25" s="269"/>
      <c r="H25" s="12">
        <f t="shared" si="0"/>
        <v>0</v>
      </c>
      <c r="I25" s="13">
        <f t="shared" si="1"/>
        <v>0</v>
      </c>
      <c r="J25" s="190"/>
      <c r="Q25" s="47"/>
    </row>
    <row r="26" spans="2:17" ht="15">
      <c r="B26" s="15">
        <f t="shared" si="2"/>
        <v>44030</v>
      </c>
      <c r="C26" s="154"/>
      <c r="D26" s="359"/>
      <c r="E26" s="268"/>
      <c r="F26" s="268"/>
      <c r="G26" s="269"/>
      <c r="H26" s="12">
        <f t="shared" si="0"/>
        <v>0</v>
      </c>
      <c r="I26" s="13">
        <f t="shared" si="1"/>
        <v>0</v>
      </c>
      <c r="J26" s="190"/>
      <c r="L26" s="39" t="str">
        <f>'08'!L26</f>
        <v>Rückvergügungen</v>
      </c>
      <c r="M26" s="34"/>
      <c r="N26" s="34"/>
      <c r="O26" s="38"/>
      <c r="P26" s="45"/>
      <c r="Q26" s="46"/>
    </row>
    <row r="27" spans="2:17" ht="15">
      <c r="B27" s="15">
        <f t="shared" si="2"/>
        <v>44031</v>
      </c>
      <c r="C27" s="154"/>
      <c r="D27" s="359"/>
      <c r="E27" s="268"/>
      <c r="F27" s="268"/>
      <c r="G27" s="269"/>
      <c r="H27" s="12">
        <f t="shared" si="0"/>
        <v>0</v>
      </c>
      <c r="I27" s="13">
        <f t="shared" si="1"/>
        <v>0</v>
      </c>
      <c r="J27" s="190"/>
      <c r="L27" s="38" t="str">
        <f>'08'!L27</f>
        <v>Kostenbeteiligungen</v>
      </c>
      <c r="M27" s="511"/>
      <c r="N27" s="511"/>
      <c r="O27" s="38"/>
      <c r="P27" s="159"/>
      <c r="Q27" s="46"/>
    </row>
    <row r="28" spans="2:17" ht="15">
      <c r="B28" s="15">
        <f t="shared" si="2"/>
        <v>44032</v>
      </c>
      <c r="C28" s="154"/>
      <c r="D28" s="359"/>
      <c r="E28" s="268"/>
      <c r="F28" s="268"/>
      <c r="G28" s="269"/>
      <c r="H28" s="12">
        <f t="shared" si="0"/>
        <v>0</v>
      </c>
      <c r="I28" s="13">
        <f t="shared" si="1"/>
        <v>0</v>
      </c>
      <c r="J28" s="190"/>
      <c r="L28" s="38" t="str">
        <f>'08'!L28</f>
        <v>Übrige Rückvergütungen</v>
      </c>
      <c r="M28" s="512"/>
      <c r="N28" s="512"/>
      <c r="O28" s="38"/>
      <c r="P28" s="160"/>
      <c r="Q28" s="46"/>
    </row>
    <row r="29" spans="2:10" ht="15">
      <c r="B29" s="15">
        <f t="shared" si="2"/>
        <v>44033</v>
      </c>
      <c r="C29" s="154"/>
      <c r="D29" s="359"/>
      <c r="E29" s="268"/>
      <c r="F29" s="268"/>
      <c r="G29" s="269"/>
      <c r="H29" s="12">
        <f t="shared" si="0"/>
        <v>0</v>
      </c>
      <c r="I29" s="13">
        <f t="shared" si="1"/>
        <v>0</v>
      </c>
      <c r="J29" s="190"/>
    </row>
    <row r="30" spans="2:17" ht="15">
      <c r="B30" s="15">
        <f t="shared" si="2"/>
        <v>44034</v>
      </c>
      <c r="C30" s="154"/>
      <c r="D30" s="359"/>
      <c r="E30" s="268"/>
      <c r="F30" s="268"/>
      <c r="G30" s="269"/>
      <c r="H30" s="12">
        <f t="shared" si="0"/>
        <v>0</v>
      </c>
      <c r="I30" s="13">
        <f t="shared" si="1"/>
        <v>0</v>
      </c>
      <c r="J30" s="190"/>
      <c r="L30" s="39" t="str">
        <f>'08'!L30</f>
        <v>Zuschläge</v>
      </c>
      <c r="M30" s="34"/>
      <c r="N30" s="34"/>
      <c r="O30" s="38"/>
      <c r="P30" s="45"/>
      <c r="Q30" s="52">
        <f>SUM(P27:P28)</f>
        <v>0</v>
      </c>
    </row>
    <row r="31" spans="2:17" ht="15">
      <c r="B31" s="15">
        <f t="shared" si="2"/>
        <v>44035</v>
      </c>
      <c r="C31" s="154"/>
      <c r="D31" s="359"/>
      <c r="E31" s="268"/>
      <c r="F31" s="268"/>
      <c r="G31" s="269"/>
      <c r="H31" s="12">
        <f t="shared" si="0"/>
        <v>0</v>
      </c>
      <c r="I31" s="13">
        <f t="shared" si="1"/>
        <v>0</v>
      </c>
      <c r="J31" s="190"/>
      <c r="L31" s="34"/>
      <c r="M31" s="34"/>
      <c r="N31" s="34"/>
      <c r="O31" s="38"/>
      <c r="P31" s="45"/>
      <c r="Q31" s="46"/>
    </row>
    <row r="32" spans="2:17" ht="15">
      <c r="B32" s="15">
        <f t="shared" si="2"/>
        <v>44036</v>
      </c>
      <c r="C32" s="154"/>
      <c r="D32" s="359"/>
      <c r="E32" s="268"/>
      <c r="F32" s="268"/>
      <c r="G32" s="269"/>
      <c r="H32" s="12">
        <f t="shared" si="0"/>
        <v>0</v>
      </c>
      <c r="I32" s="13">
        <f t="shared" si="1"/>
        <v>0</v>
      </c>
      <c r="J32" s="190"/>
      <c r="L32" s="39" t="str">
        <f>'08'!L32</f>
        <v>Netto-Auszahlung</v>
      </c>
      <c r="M32" s="34"/>
      <c r="N32" s="34"/>
      <c r="O32" s="38"/>
      <c r="P32" s="45"/>
      <c r="Q32" s="53" t="e">
        <f>Q13+Q30-Q24</f>
        <v>#N/A</v>
      </c>
    </row>
    <row r="33" spans="2:17" ht="15">
      <c r="B33" s="15">
        <f t="shared" si="2"/>
        <v>44037</v>
      </c>
      <c r="C33" s="154"/>
      <c r="D33" s="359"/>
      <c r="E33" s="268"/>
      <c r="F33" s="268"/>
      <c r="G33" s="269"/>
      <c r="H33" s="12">
        <f t="shared" si="0"/>
        <v>0</v>
      </c>
      <c r="I33" s="13">
        <f t="shared" si="1"/>
        <v>0</v>
      </c>
      <c r="J33" s="190"/>
      <c r="L33" s="34"/>
      <c r="M33" s="386" t="str">
        <f>'08'!M33</f>
        <v>aktueller
Monat</v>
      </c>
      <c r="N33" s="386" t="str">
        <f>'08'!N33</f>
        <v>Summe der
Vormonate</v>
      </c>
      <c r="O33" s="386" t="str">
        <f>'08'!O33</f>
        <v>Jahresvor-
anschlag:</v>
      </c>
      <c r="P33" s="510"/>
      <c r="Q33" s="386" t="str">
        <f>'08'!Q33</f>
        <v>Aktueller
Saldo</v>
      </c>
    </row>
    <row r="34" spans="2:17" ht="15">
      <c r="B34" s="15">
        <f t="shared" si="2"/>
        <v>44038</v>
      </c>
      <c r="C34" s="154"/>
      <c r="D34" s="359"/>
      <c r="E34" s="268"/>
      <c r="F34" s="268"/>
      <c r="G34" s="269"/>
      <c r="H34" s="12">
        <f t="shared" si="0"/>
        <v>0</v>
      </c>
      <c r="I34" s="13">
        <f t="shared" si="1"/>
        <v>0</v>
      </c>
      <c r="J34" s="190"/>
      <c r="L34" s="56" t="str">
        <f>'08'!L34</f>
        <v>Tagesabrechnung</v>
      </c>
      <c r="M34" s="387">
        <f>'08'!M34</f>
        <v>0</v>
      </c>
      <c r="N34" s="387">
        <f>'08'!N34</f>
        <v>0</v>
      </c>
      <c r="O34" s="387">
        <f>'08'!O34</f>
        <v>0</v>
      </c>
      <c r="P34" s="510"/>
      <c r="Q34" s="387">
        <f>'08'!Q34</f>
        <v>0</v>
      </c>
    </row>
    <row r="35" spans="2:17" ht="15">
      <c r="B35" s="15">
        <f t="shared" si="2"/>
        <v>44039</v>
      </c>
      <c r="C35" s="154"/>
      <c r="D35" s="359"/>
      <c r="E35" s="268"/>
      <c r="F35" s="268"/>
      <c r="G35" s="269"/>
      <c r="H35" s="12">
        <f t="shared" si="0"/>
        <v>0</v>
      </c>
      <c r="I35" s="13">
        <f t="shared" si="1"/>
        <v>0</v>
      </c>
      <c r="J35" s="190"/>
      <c r="L35" s="287" t="str">
        <f>'08'!L35</f>
        <v>Arbeit:</v>
      </c>
      <c r="M35" s="262">
        <f aca="true" t="shared" si="3" ref="M35:N38">H43</f>
        <v>0</v>
      </c>
      <c r="N35" s="262">
        <f t="shared" si="3"/>
        <v>0</v>
      </c>
      <c r="O35" s="262" t="e">
        <f>NJ_Travail</f>
        <v>#N/A</v>
      </c>
      <c r="Q35" s="263" t="e">
        <f aca="true" t="shared" si="4" ref="Q35:Q42">O35-N35-M35</f>
        <v>#N/A</v>
      </c>
    </row>
    <row r="36" spans="2:17" ht="15">
      <c r="B36" s="15">
        <f t="shared" si="2"/>
        <v>44040</v>
      </c>
      <c r="C36" s="154"/>
      <c r="D36" s="359"/>
      <c r="E36" s="268"/>
      <c r="F36" s="268"/>
      <c r="G36" s="269"/>
      <c r="H36" s="12">
        <f t="shared" si="0"/>
        <v>0</v>
      </c>
      <c r="I36" s="13">
        <f t="shared" si="1"/>
        <v>0</v>
      </c>
      <c r="J36" s="190"/>
      <c r="L36" s="287" t="str">
        <f>'08'!L36</f>
        <v>Schultage:</v>
      </c>
      <c r="M36" s="178">
        <f t="shared" si="3"/>
        <v>0</v>
      </c>
      <c r="N36" s="178">
        <f t="shared" si="3"/>
        <v>0</v>
      </c>
      <c r="O36" s="178" t="e">
        <f>NJ_CoursProf</f>
        <v>#N/A</v>
      </c>
      <c r="Q36" s="179" t="e">
        <f t="shared" si="4"/>
        <v>#N/A</v>
      </c>
    </row>
    <row r="37" spans="2:17" ht="15">
      <c r="B37" s="15">
        <f t="shared" si="2"/>
        <v>44041</v>
      </c>
      <c r="C37" s="154"/>
      <c r="D37" s="359"/>
      <c r="E37" s="268"/>
      <c r="F37" s="268"/>
      <c r="G37" s="269"/>
      <c r="H37" s="12">
        <f t="shared" si="0"/>
        <v>0</v>
      </c>
      <c r="I37" s="13">
        <f t="shared" si="1"/>
        <v>0</v>
      </c>
      <c r="J37" s="190"/>
      <c r="L37" s="287" t="str">
        <f>'08'!L37</f>
        <v>üK:</v>
      </c>
      <c r="M37" s="178">
        <f t="shared" si="3"/>
        <v>0</v>
      </c>
      <c r="N37" s="178">
        <f t="shared" si="3"/>
        <v>0</v>
      </c>
      <c r="O37" s="178" t="e">
        <f>NJ_CoursIE</f>
        <v>#N/A</v>
      </c>
      <c r="Q37" s="179" t="e">
        <f t="shared" si="4"/>
        <v>#N/A</v>
      </c>
    </row>
    <row r="38" spans="2:17" ht="15">
      <c r="B38" s="15">
        <f t="shared" si="2"/>
        <v>44042</v>
      </c>
      <c r="C38" s="154"/>
      <c r="D38" s="359"/>
      <c r="E38" s="268"/>
      <c r="F38" s="268"/>
      <c r="G38" s="269"/>
      <c r="H38" s="12">
        <f t="shared" si="0"/>
        <v>0</v>
      </c>
      <c r="I38" s="13">
        <f t="shared" si="1"/>
        <v>0</v>
      </c>
      <c r="J38" s="190"/>
      <c r="L38" s="287" t="str">
        <f>'08'!L38</f>
        <v>Militär:</v>
      </c>
      <c r="M38" s="178">
        <f t="shared" si="3"/>
        <v>0</v>
      </c>
      <c r="N38" s="178">
        <f t="shared" si="3"/>
        <v>0</v>
      </c>
      <c r="O38" s="178">
        <f>NJ_Bloc</f>
        <v>0</v>
      </c>
      <c r="Q38" s="179">
        <f t="shared" si="4"/>
        <v>0</v>
      </c>
    </row>
    <row r="39" spans="2:17" ht="15.75" thickBot="1">
      <c r="B39" s="58">
        <f t="shared" si="2"/>
        <v>44043</v>
      </c>
      <c r="C39" s="154"/>
      <c r="D39" s="359"/>
      <c r="E39" s="268"/>
      <c r="F39" s="268"/>
      <c r="G39" s="269"/>
      <c r="H39" s="12">
        <f t="shared" si="0"/>
        <v>0</v>
      </c>
      <c r="I39" s="13">
        <f t="shared" si="1"/>
        <v>0</v>
      </c>
      <c r="J39" s="191"/>
      <c r="L39" s="287" t="str">
        <f>'08'!L39</f>
        <v>Frei:</v>
      </c>
      <c r="M39" s="262">
        <f aca="true" t="shared" si="5" ref="M39:N42">H47</f>
        <v>0</v>
      </c>
      <c r="N39" s="262">
        <f t="shared" si="5"/>
        <v>0</v>
      </c>
      <c r="O39" s="262" t="e">
        <f>NJ_Conge</f>
        <v>#N/A</v>
      </c>
      <c r="Q39" s="263" t="e">
        <f t="shared" si="4"/>
        <v>#N/A</v>
      </c>
    </row>
    <row r="40" spans="2:17" ht="15.75" thickBot="1">
      <c r="B40" s="335" t="str">
        <f>'08'!B40</f>
        <v>Total</v>
      </c>
      <c r="C40" s="336">
        <f>COUNTIF(C9:C39,"a")+COUNTIF(C9:C39,"b")+COUNTIF(C9:C39,"c")+COUNTIF(C9:C39,"d")+COUNTIF(C9:C39,"e")+COUNTIF(C9:C39,"f")+COUNTIF(C9:C39,"g")+COUNTIF(C9:C39,"h")+COUNTIF(C9:C39,"i")</f>
        <v>0</v>
      </c>
      <c r="D40" s="17">
        <f aca="true" t="shared" si="6" ref="D40:I40">SUM(D9:D39)</f>
        <v>0</v>
      </c>
      <c r="E40" s="18">
        <f t="shared" si="6"/>
        <v>0</v>
      </c>
      <c r="F40" s="18">
        <f t="shared" si="6"/>
        <v>0</v>
      </c>
      <c r="G40" s="19">
        <f t="shared" si="6"/>
        <v>0</v>
      </c>
      <c r="H40" s="20">
        <f t="shared" si="6"/>
        <v>0</v>
      </c>
      <c r="I40" s="21">
        <f t="shared" si="6"/>
        <v>0</v>
      </c>
      <c r="J40" s="337" t="e">
        <f>INT(((Sa_NatureMensuel/H42*C40)*20)+0.5)/20</f>
        <v>#N/A</v>
      </c>
      <c r="L40" s="288" t="str">
        <f>'08'!L40</f>
        <v>Ferien:</v>
      </c>
      <c r="M40" s="289">
        <f t="shared" si="5"/>
        <v>0</v>
      </c>
      <c r="N40" s="289">
        <f t="shared" si="5"/>
        <v>0</v>
      </c>
      <c r="O40" s="289" t="e">
        <f>NJ_Vacances</f>
        <v>#N/A</v>
      </c>
      <c r="Q40" s="290" t="e">
        <f t="shared" si="4"/>
        <v>#N/A</v>
      </c>
    </row>
    <row r="41" spans="2:17" ht="15.75" thickBot="1">
      <c r="B41" s="452"/>
      <c r="C41" s="453"/>
      <c r="D41" s="453"/>
      <c r="E41" s="453"/>
      <c r="F41" s="453"/>
      <c r="G41" s="506"/>
      <c r="H41" s="286">
        <f>B3</f>
        <v>44013</v>
      </c>
      <c r="I41" s="22" t="str">
        <f>'08'!I41</f>
        <v>Total</v>
      </c>
      <c r="J41" s="23"/>
      <c r="L41" s="288" t="str">
        <f>'08'!L41</f>
        <v>Unfall:</v>
      </c>
      <c r="M41" s="289">
        <f t="shared" si="5"/>
        <v>0</v>
      </c>
      <c r="N41" s="289">
        <f t="shared" si="5"/>
        <v>0</v>
      </c>
      <c r="O41" s="289">
        <v>0</v>
      </c>
      <c r="Q41" s="290">
        <f t="shared" si="4"/>
        <v>0</v>
      </c>
    </row>
    <row r="42" spans="2:17" ht="15">
      <c r="B42" s="408" t="str">
        <f>'08'!B42</f>
        <v>Tagesabrechnung</v>
      </c>
      <c r="C42" s="409" t="e">
        <f>'08'!C42</f>
        <v>#N/A</v>
      </c>
      <c r="D42" s="409" t="e">
        <f>'08'!D42</f>
        <v>#REF!</v>
      </c>
      <c r="E42" s="409" t="e">
        <f>'08'!E42</f>
        <v>#REF!</v>
      </c>
      <c r="F42" s="409" t="e">
        <f>'08'!F42</f>
        <v>#REF!</v>
      </c>
      <c r="G42" s="410" t="e">
        <f>'08'!G42</f>
        <v>#REF!</v>
      </c>
      <c r="H42" s="24">
        <v>31</v>
      </c>
      <c r="I42" s="25">
        <f>SUM('06'!H42:I42)</f>
        <v>335</v>
      </c>
      <c r="J42" s="26"/>
      <c r="L42" s="287" t="str">
        <f>'08'!L42</f>
        <v>Krankheit:</v>
      </c>
      <c r="M42" s="178">
        <f t="shared" si="5"/>
        <v>0</v>
      </c>
      <c r="N42" s="178">
        <f t="shared" si="5"/>
        <v>0</v>
      </c>
      <c r="O42" s="178">
        <v>0</v>
      </c>
      <c r="Q42" s="179">
        <f t="shared" si="4"/>
        <v>0</v>
      </c>
    </row>
    <row r="43" spans="2:10" ht="15">
      <c r="B43" s="402" t="str">
        <f>'08'!B43</f>
        <v>Arbeitstage ( a )</v>
      </c>
      <c r="C43" s="403" t="e">
        <f>'08'!C43</f>
        <v>#N/A</v>
      </c>
      <c r="D43" s="403" t="e">
        <f>'08'!D43</f>
        <v>#REF!</v>
      </c>
      <c r="E43" s="403" t="e">
        <f>'08'!E43</f>
        <v>#REF!</v>
      </c>
      <c r="F43" s="403" t="e">
        <f>'08'!F43</f>
        <v>#REF!</v>
      </c>
      <c r="G43" s="404" t="e">
        <f>'08'!G43</f>
        <v>#REF!</v>
      </c>
      <c r="H43" s="27">
        <f>COUNTIF(C9:C39,"a")+COUNTIF(C9:C39,"f")/2</f>
        <v>0</v>
      </c>
      <c r="I43" s="28">
        <f>SUM('06'!H43:I43)</f>
        <v>0</v>
      </c>
      <c r="J43" s="29"/>
    </row>
    <row r="44" spans="2:17" ht="15">
      <c r="B44" s="402" t="str">
        <f>'08'!B44</f>
        <v>Schultage ( b )</v>
      </c>
      <c r="C44" s="403" t="e">
        <f>'08'!C44</f>
        <v>#N/A</v>
      </c>
      <c r="D44" s="403" t="e">
        <f>'08'!D44</f>
        <v>#REF!</v>
      </c>
      <c r="E44" s="403" t="e">
        <f>'08'!E44</f>
        <v>#REF!</v>
      </c>
      <c r="F44" s="403" t="e">
        <f>'08'!F44</f>
        <v>#REF!</v>
      </c>
      <c r="G44" s="404" t="e">
        <f>'08'!G44</f>
        <v>#REF!</v>
      </c>
      <c r="H44" s="27">
        <f>COUNTIF(C9:C39,"b")</f>
        <v>0</v>
      </c>
      <c r="I44" s="28">
        <f>SUM('06'!H44:I44)</f>
        <v>0</v>
      </c>
      <c r="J44" s="29"/>
      <c r="L44" s="38" t="str">
        <f>'08'!L44</f>
        <v>Bemerkungen:</v>
      </c>
      <c r="M44" s="513"/>
      <c r="N44" s="514"/>
      <c r="O44" s="514"/>
      <c r="P44" s="514"/>
      <c r="Q44" s="515"/>
    </row>
    <row r="45" spans="2:17" ht="15">
      <c r="B45" s="402" t="str">
        <f>'08'!B45</f>
        <v>überbetriebliche Kurse ( c )</v>
      </c>
      <c r="C45" s="403" t="e">
        <f>'08'!C45</f>
        <v>#N/A</v>
      </c>
      <c r="D45" s="403" t="e">
        <f>'08'!D45</f>
        <v>#REF!</v>
      </c>
      <c r="E45" s="403" t="e">
        <f>'08'!E45</f>
        <v>#REF!</v>
      </c>
      <c r="F45" s="403" t="e">
        <f>'08'!F45</f>
        <v>#REF!</v>
      </c>
      <c r="G45" s="404" t="e">
        <f>'08'!G45</f>
        <v>#REF!</v>
      </c>
      <c r="H45" s="27">
        <f>COUNTIF(C9:C39,"c")</f>
        <v>0</v>
      </c>
      <c r="I45" s="28">
        <f>SUM('06'!H45:I45)</f>
        <v>0</v>
      </c>
      <c r="J45" s="29"/>
      <c r="L45" s="34"/>
      <c r="M45" s="516"/>
      <c r="N45" s="517"/>
      <c r="O45" s="517"/>
      <c r="P45" s="517"/>
      <c r="Q45" s="518"/>
    </row>
    <row r="46" spans="2:17" ht="15">
      <c r="B46" s="402" t="str">
        <f>'08'!B46</f>
        <v>Militär ( i )</v>
      </c>
      <c r="C46" s="403" t="e">
        <f>'08'!C46</f>
        <v>#N/A</v>
      </c>
      <c r="D46" s="403" t="e">
        <f>'08'!D46</f>
        <v>#REF!</v>
      </c>
      <c r="E46" s="403" t="e">
        <f>'08'!E46</f>
        <v>#REF!</v>
      </c>
      <c r="F46" s="403" t="e">
        <f>'08'!F46</f>
        <v>#REF!</v>
      </c>
      <c r="G46" s="404" t="e">
        <f>'08'!G46</f>
        <v>#REF!</v>
      </c>
      <c r="H46" s="27">
        <f>COUNTIF(C9:C39,"i")</f>
        <v>0</v>
      </c>
      <c r="I46" s="28">
        <f>SUM('06'!H46:I46)</f>
        <v>0</v>
      </c>
      <c r="J46" s="29"/>
      <c r="L46" s="34"/>
      <c r="M46" s="519"/>
      <c r="N46" s="520"/>
      <c r="O46" s="520"/>
      <c r="P46" s="520"/>
      <c r="Q46" s="521"/>
    </row>
    <row r="47" spans="2:17" ht="15">
      <c r="B47" s="402" t="str">
        <f>'08'!B47</f>
        <v>Frei ( d )</v>
      </c>
      <c r="C47" s="403" t="e">
        <f>'08'!C47</f>
        <v>#N/A</v>
      </c>
      <c r="D47" s="403" t="e">
        <f>'08'!D47</f>
        <v>#REF!</v>
      </c>
      <c r="E47" s="403" t="e">
        <f>'08'!E47</f>
        <v>#REF!</v>
      </c>
      <c r="F47" s="403" t="e">
        <f>'08'!F47</f>
        <v>#REF!</v>
      </c>
      <c r="G47" s="404" t="e">
        <f>'08'!G47</f>
        <v>#REF!</v>
      </c>
      <c r="H47" s="27">
        <f>COUNTIF(C9:C39,"d")+COUNTIF(C9:C39,"f")/2</f>
        <v>0</v>
      </c>
      <c r="I47" s="28">
        <f>SUM('06'!H47:I47)</f>
        <v>0</v>
      </c>
      <c r="J47" s="29"/>
      <c r="L47" s="34"/>
      <c r="M47" s="34"/>
      <c r="N47" s="34"/>
      <c r="O47" s="38"/>
      <c r="P47" s="34"/>
      <c r="Q47" s="40"/>
    </row>
    <row r="48" spans="1:17" ht="15">
      <c r="A48" s="7">
        <v>289</v>
      </c>
      <c r="B48" s="402" t="str">
        <f>'08'!B48</f>
        <v>Ferien ( e )</v>
      </c>
      <c r="C48" s="403" t="e">
        <f>'08'!C48</f>
        <v>#N/A</v>
      </c>
      <c r="D48" s="403" t="e">
        <f>'08'!D48</f>
        <v>#REF!</v>
      </c>
      <c r="E48" s="403" t="e">
        <f>'08'!E48</f>
        <v>#REF!</v>
      </c>
      <c r="F48" s="403" t="e">
        <f>'08'!F48</f>
        <v>#REF!</v>
      </c>
      <c r="G48" s="404" t="e">
        <f>'08'!G48</f>
        <v>#REF!</v>
      </c>
      <c r="H48" s="27">
        <f>COUNTIF(C9:C39,"e")</f>
        <v>0</v>
      </c>
      <c r="I48" s="28">
        <f>SUM('06'!H48:I48)</f>
        <v>0</v>
      </c>
      <c r="J48" s="29"/>
      <c r="L48" s="38" t="str">
        <f>'08'!L48</f>
        <v>Datum</v>
      </c>
      <c r="M48" s="177"/>
      <c r="N48" s="34"/>
      <c r="O48" s="38" t="str">
        <f>'08'!O48</f>
        <v>Berufsbildner /in</v>
      </c>
      <c r="P48" s="54"/>
      <c r="Q48" s="55"/>
    </row>
    <row r="49" spans="1:17" ht="15">
      <c r="A49" s="7">
        <v>290</v>
      </c>
      <c r="B49" s="402" t="str">
        <f>'08'!B49</f>
        <v>Unfall ( g )</v>
      </c>
      <c r="C49" s="403" t="e">
        <f>'08'!C49</f>
        <v>#N/A</v>
      </c>
      <c r="D49" s="403" t="e">
        <f>'08'!D49</f>
        <v>#REF!</v>
      </c>
      <c r="E49" s="403" t="e">
        <f>'08'!E49</f>
        <v>#REF!</v>
      </c>
      <c r="F49" s="403" t="e">
        <f>'08'!F49</f>
        <v>#REF!</v>
      </c>
      <c r="G49" s="404" t="e">
        <f>'08'!G49</f>
        <v>#REF!</v>
      </c>
      <c r="H49" s="27">
        <f>COUNTIF(C9:C39,"g")</f>
        <v>0</v>
      </c>
      <c r="I49" s="28">
        <f>SUM('06'!H49:I49)</f>
        <v>0</v>
      </c>
      <c r="J49" s="29"/>
      <c r="L49" s="34"/>
      <c r="M49" s="34"/>
      <c r="N49" s="34"/>
      <c r="O49" s="38"/>
      <c r="P49" s="34"/>
      <c r="Q49" s="40"/>
    </row>
    <row r="50" spans="1:17" s="7" customFormat="1" ht="15.75" thickBot="1">
      <c r="A50" s="285">
        <v>291</v>
      </c>
      <c r="B50" s="383" t="str">
        <f>'08'!B50</f>
        <v>Krankheit ( h )</v>
      </c>
      <c r="C50" s="384" t="e">
        <f>'08'!C50</f>
        <v>#N/A</v>
      </c>
      <c r="D50" s="384" t="e">
        <f>'08'!D50</f>
        <v>#REF!</v>
      </c>
      <c r="E50" s="384" t="e">
        <f>'08'!E50</f>
        <v>#REF!</v>
      </c>
      <c r="F50" s="384" t="e">
        <f>'08'!F50</f>
        <v>#REF!</v>
      </c>
      <c r="G50" s="385" t="e">
        <f>'08'!G50</f>
        <v>#REF!</v>
      </c>
      <c r="H50" s="30">
        <f>COUNTIF(C9:C39,"h")</f>
        <v>0</v>
      </c>
      <c r="I50" s="31">
        <f>SUM('06'!H50:I50)</f>
        <v>0</v>
      </c>
      <c r="J50" s="32"/>
      <c r="L50" s="34"/>
      <c r="M50" s="35"/>
      <c r="N50" s="34"/>
      <c r="O50" s="38" t="str">
        <f>'08'!O50</f>
        <v>Lernende /r</v>
      </c>
      <c r="P50" s="54"/>
      <c r="Q50" s="55"/>
    </row>
    <row r="51" spans="12:17" ht="14.25">
      <c r="L51" s="34"/>
      <c r="M51" s="35"/>
      <c r="N51" s="34"/>
      <c r="O51" s="38"/>
      <c r="P51" s="54"/>
      <c r="Q51" s="55"/>
    </row>
  </sheetData>
  <sheetProtection password="83EF" sheet="1" objects="1" scenarios="1"/>
  <mergeCells count="37">
    <mergeCell ref="C2:J2"/>
    <mergeCell ref="B1:J1"/>
    <mergeCell ref="L1:Q1"/>
    <mergeCell ref="M3:N3"/>
    <mergeCell ref="O3:P3"/>
    <mergeCell ref="B3:B8"/>
    <mergeCell ref="C3:C8"/>
    <mergeCell ref="D3:D8"/>
    <mergeCell ref="E3:E8"/>
    <mergeCell ref="G3:G8"/>
    <mergeCell ref="H3:H8"/>
    <mergeCell ref="I3:I8"/>
    <mergeCell ref="F3:F8"/>
    <mergeCell ref="J3:J8"/>
    <mergeCell ref="M5:Q5"/>
    <mergeCell ref="M6:Q6"/>
    <mergeCell ref="M20:N20"/>
    <mergeCell ref="M27:N27"/>
    <mergeCell ref="M28:N28"/>
    <mergeCell ref="M7:Q7"/>
    <mergeCell ref="M8:N8"/>
    <mergeCell ref="M44:Q46"/>
    <mergeCell ref="Q33:Q34"/>
    <mergeCell ref="B46:G46"/>
    <mergeCell ref="B50:G50"/>
    <mergeCell ref="B43:G43"/>
    <mergeCell ref="B47:G47"/>
    <mergeCell ref="B44:G44"/>
    <mergeCell ref="B45:G45"/>
    <mergeCell ref="B48:G48"/>
    <mergeCell ref="B49:G49"/>
    <mergeCell ref="B41:G41"/>
    <mergeCell ref="B42:G42"/>
    <mergeCell ref="N33:N34"/>
    <mergeCell ref="M33:M34"/>
    <mergeCell ref="P33:P34"/>
    <mergeCell ref="O33:O34"/>
  </mergeCells>
  <conditionalFormatting sqref="E9:E39">
    <cfRule type="cellIs" priority="32" dxfId="9" operator="lessThan" stopIfTrue="1">
      <formula>0</formula>
    </cfRule>
    <cfRule type="cellIs" priority="33" dxfId="8" operator="greaterThan" stopIfTrue="1">
      <formula>0</formula>
    </cfRule>
    <cfRule type="expression" priority="34" dxfId="7" stopIfTrue="1">
      <formula>OR(C9="a",C9="b",C9="c")</formula>
    </cfRule>
  </conditionalFormatting>
  <conditionalFormatting sqref="F9:F39">
    <cfRule type="cellIs" priority="35" dxfId="9" operator="lessThan" stopIfTrue="1">
      <formula>0</formula>
    </cfRule>
    <cfRule type="cellIs" priority="36" dxfId="8" operator="greaterThan" stopIfTrue="1">
      <formula>0</formula>
    </cfRule>
    <cfRule type="expression" priority="37" dxfId="7" stopIfTrue="1">
      <formula>OR(C9="a")</formula>
    </cfRule>
  </conditionalFormatting>
  <conditionalFormatting sqref="G9:G39">
    <cfRule type="cellIs" priority="38" dxfId="9" operator="lessThan" stopIfTrue="1">
      <formula>0</formula>
    </cfRule>
    <cfRule type="cellIs" priority="39" dxfId="8" operator="greaterThan" stopIfTrue="1">
      <formula>0</formula>
    </cfRule>
    <cfRule type="expression" priority="40" dxfId="7" stopIfTrue="1">
      <formula>OR(C9="a",C9="b",C9="c")</formula>
    </cfRule>
  </conditionalFormatting>
  <conditionalFormatting sqref="B9:B39">
    <cfRule type="expression" priority="28" dxfId="0" stopIfTrue="1">
      <formula>WEEKDAY(B9)=1</formula>
    </cfRule>
  </conditionalFormatting>
  <conditionalFormatting sqref="C9:C39">
    <cfRule type="expression" priority="42" dxfId="2" stopIfTrue="1">
      <formula>AND(C9&lt;&gt;"",C9&lt;&gt;"a",C9&lt;&gt;"b",C9&lt;&gt;"c",C9&lt;&gt;"d",C9&lt;&gt;"e",C9&lt;&gt;"f",C9&lt;&gt;"g",C9&lt;&gt;"h",C9&lt;&gt;"i")</formula>
    </cfRule>
  </conditionalFormatting>
  <conditionalFormatting sqref="D9:D39">
    <cfRule type="cellIs" priority="43" dxfId="9" operator="lessThan" stopIfTrue="1">
      <formula>0</formula>
    </cfRule>
    <cfRule type="cellIs" priority="44" dxfId="8" operator="greaterThan" stopIfTrue="1">
      <formula>0</formula>
    </cfRule>
    <cfRule type="expression" priority="45" dxfId="7" stopIfTrue="1">
      <formula>AND(C9&lt;&gt;"",C9&lt;&gt;"i")</formula>
    </cfRule>
  </conditionalFormatting>
  <conditionalFormatting sqref="D9:D39">
    <cfRule type="cellIs" priority="19" dxfId="9" operator="lessThan" stopIfTrue="1">
      <formula>0</formula>
    </cfRule>
    <cfRule type="cellIs" priority="20" dxfId="8" operator="greaterThan" stopIfTrue="1">
      <formula>0</formula>
    </cfRule>
    <cfRule type="expression" priority="21" dxfId="7" stopIfTrue="1">
      <formula>AND(C9&lt;&gt;"",C9&lt;&gt;"i")</formula>
    </cfRule>
  </conditionalFormatting>
  <conditionalFormatting sqref="D9:D39">
    <cfRule type="cellIs" priority="16" dxfId="9" operator="lessThan" stopIfTrue="1">
      <formula>0</formula>
    </cfRule>
    <cfRule type="cellIs" priority="17" dxfId="8" operator="greaterThan" stopIfTrue="1">
      <formula>0</formula>
    </cfRule>
    <cfRule type="expression" priority="18" dxfId="7" stopIfTrue="1">
      <formula>AND(C9&lt;&gt;"",C9&lt;&gt;"i")</formula>
    </cfRule>
  </conditionalFormatting>
  <conditionalFormatting sqref="D9:D39">
    <cfRule type="cellIs" priority="13" dxfId="9" operator="lessThan" stopIfTrue="1">
      <formula>0</formula>
    </cfRule>
    <cfRule type="cellIs" priority="14" dxfId="8" operator="greaterThan" stopIfTrue="1">
      <formula>0</formula>
    </cfRule>
    <cfRule type="expression" priority="15" dxfId="7" stopIfTrue="1">
      <formula>AND(C9&lt;&gt;"",OR(PN_LogisOuiNon=1,AND(PN_LogisOuiNon=2,C9&lt;&gt;"i")))</formula>
    </cfRule>
  </conditionalFormatting>
  <conditionalFormatting sqref="D9:D39">
    <cfRule type="cellIs" priority="10" dxfId="9" operator="lessThan" stopIfTrue="1">
      <formula>0</formula>
    </cfRule>
    <cfRule type="cellIs" priority="11" dxfId="8" operator="greaterThan" stopIfTrue="1">
      <formula>0</formula>
    </cfRule>
    <cfRule type="expression" priority="12" dxfId="7" stopIfTrue="1">
      <formula>AND(C9&lt;&gt;"",C9&lt;&gt;"i")</formula>
    </cfRule>
  </conditionalFormatting>
  <conditionalFormatting sqref="D9:D39">
    <cfRule type="cellIs" priority="7" dxfId="9" operator="lessThan" stopIfTrue="1">
      <formula>0</formula>
    </cfRule>
    <cfRule type="cellIs" priority="8" dxfId="8" operator="greaterThan" stopIfTrue="1">
      <formula>0</formula>
    </cfRule>
    <cfRule type="expression" priority="9" dxfId="7" stopIfTrue="1">
      <formula>AND(C9&lt;&gt;"",OR(PN_LogisOuiNon=1,AND(PN_LogisOuiNon=2,C9&lt;&gt;"i")))</formula>
    </cfRule>
  </conditionalFormatting>
  <conditionalFormatting sqref="D9:D39">
    <cfRule type="cellIs" priority="4" dxfId="9" operator="lessThan" stopIfTrue="1">
      <formula>0</formula>
    </cfRule>
    <cfRule type="cellIs" priority="5" dxfId="8" operator="greaterThan" stopIfTrue="1">
      <formula>0</formula>
    </cfRule>
    <cfRule type="expression" priority="6" dxfId="7" stopIfTrue="1">
      <formula>AND(C9&lt;&gt;"",OR(PN_LogisOuiNon=1,AND(PN_LogisOuiNon=2,C9&lt;&gt;"j")))</formula>
    </cfRule>
  </conditionalFormatting>
  <conditionalFormatting sqref="H9:H39">
    <cfRule type="expression" priority="1" dxfId="6" stopIfTrue="1">
      <formula>C9="a"</formula>
    </cfRule>
    <cfRule type="expression" priority="2" dxfId="5" stopIfTrue="1">
      <formula>OR(C9="b",C9="c")</formula>
    </cfRule>
    <cfRule type="expression" priority="3" dxfId="0" stopIfTrue="1">
      <formula>OR(C9="d",C9="e")</formula>
    </cfRule>
  </conditionalFormatting>
  <hyperlinks>
    <hyperlink ref="C3:C8" location="Help_Code" display="Help_Code"/>
  </hyperlinks>
  <printOptions horizontalCentered="1" verticalCentered="1"/>
  <pageMargins left="0.3937007874015748" right="0.3937007874015748" top="0.5905511811023623" bottom="0.3937007874015748" header="0.5118110236220472" footer="0.31496062992125984"/>
  <pageSetup horizontalDpi="600" verticalDpi="600" orientation="portrait" paperSize="9" r:id="rId1"/>
  <headerFooter alignWithMargins="0">
    <oddFooter>&amp;L&amp;A&amp;RPage &amp;P</oddFooter>
  </headerFooter>
</worksheet>
</file>

<file path=xl/worksheets/sheet15.xml><?xml version="1.0" encoding="utf-8"?>
<worksheet xmlns="http://schemas.openxmlformats.org/spreadsheetml/2006/main" xmlns:r="http://schemas.openxmlformats.org/officeDocument/2006/relationships">
  <sheetPr codeName="Sheet16"/>
  <dimension ref="A1:Q51"/>
  <sheetViews>
    <sheetView zoomScalePageLayoutView="0" workbookViewId="0" topLeftCell="A1">
      <pane xSplit="2" ySplit="8" topLeftCell="C9" activePane="bottomRight" state="frozen"/>
      <selection pane="topLeft" activeCell="C9" sqref="C9"/>
      <selection pane="topRight" activeCell="C9" sqref="C9"/>
      <selection pane="bottomLeft" activeCell="C9" sqref="C9"/>
      <selection pane="bottomRight" activeCell="N19" sqref="N19"/>
    </sheetView>
  </sheetViews>
  <sheetFormatPr defaultColWidth="9.140625" defaultRowHeight="12.75"/>
  <cols>
    <col min="1" max="1" width="4.7109375" style="7" hidden="1" customWidth="1"/>
    <col min="2" max="2" width="14.7109375" style="7" customWidth="1"/>
    <col min="3" max="7" width="3.7109375" style="7" customWidth="1"/>
    <col min="8" max="9" width="8.7109375" style="8" customWidth="1"/>
    <col min="10" max="10" width="38.7109375" style="7" customWidth="1"/>
    <col min="11" max="11" width="2.7109375" style="7" hidden="1" customWidth="1"/>
    <col min="12" max="12" width="27.421875" style="9" customWidth="1"/>
    <col min="13" max="13" width="12.140625" style="9" customWidth="1"/>
    <col min="14" max="14" width="12.7109375" style="9" customWidth="1"/>
    <col min="15" max="15" width="12.7109375" style="33" customWidth="1"/>
    <col min="16" max="16" width="11.00390625" style="9" customWidth="1"/>
    <col min="17" max="17" width="12.7109375" style="9" customWidth="1"/>
    <col min="18" max="16384" width="9.140625" style="2" customWidth="1"/>
  </cols>
  <sheetData>
    <row r="1" spans="1:17" ht="17.25" thickBot="1">
      <c r="A1" s="10"/>
      <c r="B1" s="430" t="str">
        <f>'08'!B1</f>
        <v>Agenda</v>
      </c>
      <c r="C1" s="431"/>
      <c r="D1" s="431"/>
      <c r="E1" s="431"/>
      <c r="F1" s="431"/>
      <c r="G1" s="431"/>
      <c r="H1" s="431"/>
      <c r="I1" s="431"/>
      <c r="J1" s="432"/>
      <c r="K1" s="10"/>
      <c r="L1" s="433" t="str">
        <f>'08'!L1</f>
        <v>Monatliche Lohnabrechnung</v>
      </c>
      <c r="M1" s="434"/>
      <c r="N1" s="434"/>
      <c r="O1" s="434"/>
      <c r="P1" s="434"/>
      <c r="Q1" s="435"/>
    </row>
    <row r="2" spans="1:17" ht="17.25" thickBot="1">
      <c r="A2" s="10"/>
      <c r="B2" s="175" t="str">
        <f>'08'!B2</f>
        <v>Lerndende / r</v>
      </c>
      <c r="C2" s="495" t="str">
        <f>"- "&amp;TRIM(DB_Apprenti)&amp;" -"</f>
        <v>-  -</v>
      </c>
      <c r="D2" s="495"/>
      <c r="E2" s="495"/>
      <c r="F2" s="495"/>
      <c r="G2" s="495"/>
      <c r="H2" s="495"/>
      <c r="I2" s="495"/>
      <c r="J2" s="496"/>
      <c r="K2" s="10"/>
      <c r="L2" s="152"/>
      <c r="M2" s="152"/>
      <c r="N2" s="152"/>
      <c r="O2" s="152"/>
      <c r="P2" s="152"/>
      <c r="Q2" s="152"/>
    </row>
    <row r="3" spans="2:17" ht="15" customHeight="1">
      <c r="B3" s="438">
        <f>DATE(DB_Annee+1,8,1)</f>
        <v>44044</v>
      </c>
      <c r="C3" s="507" t="str">
        <f>'08'!C3</f>
        <v>[ a-b-c-d-e-f-g-h-i ]</v>
      </c>
      <c r="D3" s="444" t="str">
        <f>'08'!D3</f>
        <v>Übernachtung</v>
      </c>
      <c r="E3" s="447" t="str">
        <f>'08'!E3</f>
        <v>Morgenessen</v>
      </c>
      <c r="F3" s="447" t="str">
        <f>'08'!F3</f>
        <v>Mittagessen</v>
      </c>
      <c r="G3" s="413" t="str">
        <f>'08'!G3</f>
        <v>Abendessen</v>
      </c>
      <c r="H3" s="418" t="str">
        <f>'08'!H3</f>
        <v>Betrag Naturallohn</v>
      </c>
      <c r="I3" s="522" t="str">
        <f>'08'!I3</f>
        <v>Angepasster Betrag</v>
      </c>
      <c r="J3" s="503" t="str">
        <f>'08'!J3</f>
        <v>Kommentar
a = Arbeitstag
b = Schultag
c = überbetrieblicher Kurs (üK)
d = Freitag
e = Ferientag
f = 1/2 Arbeitstag, 1/2 Freitag
g = Unfall (ganz Tag)
h = Krankheit (ganz Tag)
i = Miltär</v>
      </c>
      <c r="L3" s="36" t="str">
        <f>'08'!L3</f>
        <v>Monat:</v>
      </c>
      <c r="M3" s="436">
        <f>B3</f>
        <v>44044</v>
      </c>
      <c r="N3" s="436"/>
      <c r="O3" s="437" t="str">
        <f>'08'!O3</f>
        <v>Jahr:</v>
      </c>
      <c r="P3" s="437">
        <f>'08'!P3</f>
        <v>0</v>
      </c>
      <c r="Q3" s="176">
        <f>B3</f>
        <v>44044</v>
      </c>
    </row>
    <row r="4" spans="1:17" ht="15">
      <c r="A4" s="10"/>
      <c r="B4" s="439"/>
      <c r="C4" s="508">
        <f>'08'!C4</f>
        <v>0</v>
      </c>
      <c r="D4" s="445">
        <f>'08'!D4</f>
        <v>0</v>
      </c>
      <c r="E4" s="448">
        <f>'08'!E4</f>
        <v>0</v>
      </c>
      <c r="F4" s="448">
        <f>'08'!F4</f>
        <v>0</v>
      </c>
      <c r="G4" s="414">
        <f>'08'!G4</f>
        <v>0</v>
      </c>
      <c r="H4" s="419">
        <f>'08'!H4</f>
        <v>0</v>
      </c>
      <c r="I4" s="523">
        <f>'08'!I4</f>
        <v>0</v>
      </c>
      <c r="J4" s="524">
        <f>'08'!J4</f>
        <v>0</v>
      </c>
      <c r="K4" s="10"/>
      <c r="L4" s="34"/>
      <c r="M4" s="34"/>
      <c r="N4" s="37"/>
      <c r="O4" s="36"/>
      <c r="P4" s="11"/>
      <c r="Q4" s="11"/>
    </row>
    <row r="5" spans="1:17" ht="15">
      <c r="A5" s="10"/>
      <c r="B5" s="439"/>
      <c r="C5" s="508">
        <f>'08'!C5</f>
        <v>0</v>
      </c>
      <c r="D5" s="445">
        <f>'08'!D5</f>
        <v>0</v>
      </c>
      <c r="E5" s="448">
        <f>'08'!E5</f>
        <v>0</v>
      </c>
      <c r="F5" s="448">
        <f>'08'!F5</f>
        <v>0</v>
      </c>
      <c r="G5" s="414">
        <f>'08'!G5</f>
        <v>0</v>
      </c>
      <c r="H5" s="419">
        <f>'08'!H5</f>
        <v>0</v>
      </c>
      <c r="I5" s="523">
        <f>'08'!I5</f>
        <v>0</v>
      </c>
      <c r="J5" s="524">
        <f>'08'!J5</f>
        <v>0</v>
      </c>
      <c r="K5" s="10"/>
      <c r="L5" s="36" t="str">
        <f>'08'!L5</f>
        <v>Berufsbildner</v>
      </c>
      <c r="M5" s="416">
        <f>TRIM(DB_Maitre)</f>
      </c>
      <c r="N5" s="416"/>
      <c r="O5" s="416"/>
      <c r="P5" s="416"/>
      <c r="Q5" s="416"/>
    </row>
    <row r="6" spans="1:17" ht="15">
      <c r="A6" s="10"/>
      <c r="B6" s="439"/>
      <c r="C6" s="508">
        <f>'08'!C6</f>
        <v>0</v>
      </c>
      <c r="D6" s="445">
        <f>'08'!D6</f>
        <v>0</v>
      </c>
      <c r="E6" s="448">
        <f>'08'!E6</f>
        <v>0</v>
      </c>
      <c r="F6" s="448">
        <f>'08'!F6</f>
        <v>0</v>
      </c>
      <c r="G6" s="414">
        <f>'08'!G6</f>
        <v>0</v>
      </c>
      <c r="H6" s="419">
        <f>'08'!H6</f>
        <v>0</v>
      </c>
      <c r="I6" s="523">
        <f>'08'!I6</f>
        <v>0</v>
      </c>
      <c r="J6" s="524">
        <f>'08'!J6</f>
        <v>0</v>
      </c>
      <c r="K6" s="10"/>
      <c r="L6" s="36" t="str">
        <f>'08'!L6</f>
        <v>Ort</v>
      </c>
      <c r="M6" s="417">
        <f>TRIM(DB_MaitreLieu)</f>
      </c>
      <c r="N6" s="417"/>
      <c r="O6" s="417"/>
      <c r="P6" s="417"/>
      <c r="Q6" s="417"/>
    </row>
    <row r="7" spans="1:17" ht="15">
      <c r="A7" s="10"/>
      <c r="B7" s="439"/>
      <c r="C7" s="508">
        <f>'08'!C7</f>
        <v>0</v>
      </c>
      <c r="D7" s="445">
        <f>'08'!D7</f>
        <v>0</v>
      </c>
      <c r="E7" s="448">
        <f>'08'!E7</f>
        <v>0</v>
      </c>
      <c r="F7" s="448">
        <f>'08'!F7</f>
        <v>0</v>
      </c>
      <c r="G7" s="414">
        <f>'08'!G7</f>
        <v>0</v>
      </c>
      <c r="H7" s="419">
        <f>'08'!H7</f>
        <v>0</v>
      </c>
      <c r="I7" s="523">
        <f>'08'!I7</f>
        <v>0</v>
      </c>
      <c r="J7" s="524">
        <f>'08'!J7</f>
        <v>0</v>
      </c>
      <c r="K7" s="10"/>
      <c r="L7" s="36" t="str">
        <f>'08'!L7</f>
        <v>Lernende / r</v>
      </c>
      <c r="M7" s="417">
        <f>TRIM(DB_Apprenti)</f>
      </c>
      <c r="N7" s="417"/>
      <c r="O7" s="417"/>
      <c r="P7" s="417"/>
      <c r="Q7" s="417"/>
    </row>
    <row r="8" spans="2:17" ht="15.75" thickBot="1">
      <c r="B8" s="440"/>
      <c r="C8" s="509">
        <f>'08'!C8</f>
        <v>0</v>
      </c>
      <c r="D8" s="446">
        <f>'08'!D8</f>
        <v>0</v>
      </c>
      <c r="E8" s="449">
        <f>'08'!E8</f>
        <v>0</v>
      </c>
      <c r="F8" s="449">
        <f>'08'!F8</f>
        <v>0</v>
      </c>
      <c r="G8" s="415">
        <f>'08'!G8</f>
        <v>0</v>
      </c>
      <c r="H8" s="420">
        <f>'08'!H8</f>
        <v>0</v>
      </c>
      <c r="I8" s="423">
        <f>'08'!I8</f>
        <v>0</v>
      </c>
      <c r="J8" s="525">
        <f>'08'!J8</f>
        <v>0</v>
      </c>
      <c r="L8" s="36" t="str">
        <f>'08'!L8</f>
        <v>AHV-Nummer</v>
      </c>
      <c r="M8" s="417">
        <f>TRIM(DB_AVS)</f>
      </c>
      <c r="N8" s="417"/>
      <c r="P8" s="3" t="str">
        <f>'08'!P8</f>
        <v>Geburtsdatum</v>
      </c>
      <c r="Q8" s="42">
        <f>IF(DB_DateNaissance=0,"",DB_DateNaissance)</f>
      </c>
    </row>
    <row r="9" spans="2:11" ht="15">
      <c r="B9" s="87">
        <f>B3</f>
        <v>44044</v>
      </c>
      <c r="C9" s="154"/>
      <c r="D9" s="359"/>
      <c r="E9" s="268"/>
      <c r="F9" s="268"/>
      <c r="G9" s="269"/>
      <c r="H9" s="12">
        <f aca="true" t="shared" si="0" ref="H9:H39">MAX(IF(C9="a",PN_Travail,IF(C9="b",PN_CoursProf,IF(C9="c",PN_CoursIE,IF(C9="d",PN_Conge,0)))),IF(C9="e",PN_Vacances,IF(C9="f",PN_DemiJour,IF(C9="g",PN_Accident,IF(C9="h",PN_Maladie,IF(C9="i",PN_Armee,0))))))</f>
        <v>0</v>
      </c>
      <c r="I9" s="13">
        <f aca="true" t="shared" si="1" ref="I9:I39">H9+D9*PN_Logis_Plus+E9*PN_Dejeuner_Plus+F9*PN_Diner_Plus+G9*PN_Souper_Plus</f>
        <v>0</v>
      </c>
      <c r="J9" s="161"/>
      <c r="K9" s="14"/>
    </row>
    <row r="10" spans="2:10" ht="15">
      <c r="B10" s="15">
        <f>B9+1</f>
        <v>44045</v>
      </c>
      <c r="C10" s="154"/>
      <c r="D10" s="359"/>
      <c r="E10" s="268"/>
      <c r="F10" s="268"/>
      <c r="G10" s="269"/>
      <c r="H10" s="12">
        <f t="shared" si="0"/>
        <v>0</v>
      </c>
      <c r="I10" s="13">
        <f t="shared" si="1"/>
        <v>0</v>
      </c>
      <c r="J10" s="190"/>
    </row>
    <row r="11" spans="1:17" ht="15">
      <c r="A11" s="163">
        <v>230</v>
      </c>
      <c r="B11" s="15">
        <f aca="true" t="shared" si="2" ref="B11:B39">B10+1</f>
        <v>44046</v>
      </c>
      <c r="C11" s="154"/>
      <c r="D11" s="359"/>
      <c r="E11" s="268"/>
      <c r="F11" s="268"/>
      <c r="G11" s="269"/>
      <c r="H11" s="12">
        <f t="shared" si="0"/>
        <v>0</v>
      </c>
      <c r="I11" s="13">
        <f t="shared" si="1"/>
        <v>0</v>
      </c>
      <c r="J11" s="190"/>
      <c r="L11" s="39" t="str">
        <f>'08'!L11</f>
        <v>Bruttolohn  </v>
      </c>
      <c r="M11" s="34" t="e">
        <f>IF(PN_EffMoy=0,SUBSTITUTE(VLOOKUP(A11+1,Tb_Traduction,DB_Langue,FALSE),"***",TEXT(J40,"0.00")),"")</f>
        <v>#N/A</v>
      </c>
      <c r="N11" s="34"/>
      <c r="O11" s="38"/>
      <c r="P11" s="45"/>
      <c r="Q11" s="49" t="e">
        <f>IF(OR(PN_EffMoy=0,Nb_Mois&lt;&gt;12),Sa_BaseMensuelArrondi/H42*C40,Sa_BaseMensuelArrondi*PN_SalMoyAoutPlus)</f>
        <v>#N/A</v>
      </c>
    </row>
    <row r="12" spans="2:17" ht="15">
      <c r="B12" s="15">
        <f t="shared" si="2"/>
        <v>44047</v>
      </c>
      <c r="C12" s="154"/>
      <c r="D12" s="359"/>
      <c r="E12" s="268"/>
      <c r="F12" s="268"/>
      <c r="G12" s="269"/>
      <c r="H12" s="12">
        <f t="shared" si="0"/>
        <v>0</v>
      </c>
      <c r="I12" s="13">
        <f t="shared" si="1"/>
        <v>0</v>
      </c>
      <c r="J12" s="190"/>
      <c r="L12" s="9" t="str">
        <f>'08'!L12</f>
        <v>Prämie, Bonus, Gratifikation</v>
      </c>
      <c r="Q12" s="155"/>
    </row>
    <row r="13" spans="2:17" ht="15">
      <c r="B13" s="15">
        <f t="shared" si="2"/>
        <v>44048</v>
      </c>
      <c r="C13" s="154"/>
      <c r="D13" s="359"/>
      <c r="E13" s="268"/>
      <c r="F13" s="268"/>
      <c r="G13" s="269"/>
      <c r="H13" s="12">
        <f t="shared" si="0"/>
        <v>0</v>
      </c>
      <c r="I13" s="13">
        <f t="shared" si="1"/>
        <v>0</v>
      </c>
      <c r="J13" s="190"/>
      <c r="L13" s="88" t="str">
        <f>'08'!L13</f>
        <v>Bruttolohn total</v>
      </c>
      <c r="Q13" s="89" t="e">
        <f>SUM(Q11:Q12)</f>
        <v>#N/A</v>
      </c>
    </row>
    <row r="14" spans="2:10" ht="15">
      <c r="B14" s="15">
        <f t="shared" si="2"/>
        <v>44049</v>
      </c>
      <c r="C14" s="154"/>
      <c r="D14" s="359"/>
      <c r="E14" s="268"/>
      <c r="F14" s="268"/>
      <c r="G14" s="269"/>
      <c r="H14" s="12">
        <f t="shared" si="0"/>
        <v>0</v>
      </c>
      <c r="I14" s="13">
        <f t="shared" si="1"/>
        <v>0</v>
      </c>
      <c r="J14" s="190"/>
    </row>
    <row r="15" spans="2:17" ht="15">
      <c r="B15" s="15">
        <f t="shared" si="2"/>
        <v>44050</v>
      </c>
      <c r="C15" s="154"/>
      <c r="D15" s="359"/>
      <c r="E15" s="268"/>
      <c r="F15" s="268"/>
      <c r="G15" s="269"/>
      <c r="H15" s="12">
        <f t="shared" si="0"/>
        <v>0</v>
      </c>
      <c r="I15" s="13">
        <f t="shared" si="1"/>
        <v>0</v>
      </c>
      <c r="J15" s="190"/>
      <c r="L15" s="39" t="str">
        <f>'08'!L15</f>
        <v>Abzüge</v>
      </c>
      <c r="M15" s="11" t="str">
        <f>'08'!M15</f>
        <v>Anteil</v>
      </c>
      <c r="N15" s="11" t="s">
        <v>37</v>
      </c>
      <c r="O15" s="38"/>
      <c r="P15" s="45"/>
      <c r="Q15" s="46"/>
    </row>
    <row r="16" spans="2:17" ht="15">
      <c r="B16" s="15">
        <f t="shared" si="2"/>
        <v>44051</v>
      </c>
      <c r="C16" s="154"/>
      <c r="D16" s="359"/>
      <c r="E16" s="268"/>
      <c r="F16" s="268"/>
      <c r="G16" s="269"/>
      <c r="H16" s="12">
        <f t="shared" si="0"/>
        <v>0</v>
      </c>
      <c r="I16" s="13">
        <f t="shared" si="1"/>
        <v>0</v>
      </c>
      <c r="J16" s="190"/>
      <c r="L16" s="48" t="str">
        <f>'08'!L16</f>
        <v>Beiträge AHV, IV, EO*:</v>
      </c>
      <c r="M16" s="43" t="s">
        <v>50</v>
      </c>
      <c r="N16" s="44">
        <f>IF(B3&gt;=DB_SoumisAVS,RS_AVS_Plus,0)</f>
        <v>0.05125</v>
      </c>
      <c r="O16" s="38"/>
      <c r="P16" s="50" t="e">
        <f>$Q$13*N16</f>
        <v>#N/A</v>
      </c>
      <c r="Q16" s="46"/>
    </row>
    <row r="17" spans="2:17" ht="15">
      <c r="B17" s="15">
        <f t="shared" si="2"/>
        <v>44052</v>
      </c>
      <c r="C17" s="154"/>
      <c r="D17" s="359"/>
      <c r="E17" s="268"/>
      <c r="F17" s="268"/>
      <c r="G17" s="269"/>
      <c r="H17" s="12">
        <f t="shared" si="0"/>
        <v>0</v>
      </c>
      <c r="I17" s="13">
        <f t="shared" si="1"/>
        <v>0</v>
      </c>
      <c r="J17" s="190"/>
      <c r="L17" s="48" t="str">
        <f>'08'!L17</f>
        <v>Beiträge ALV*:</v>
      </c>
      <c r="M17" s="43" t="s">
        <v>50</v>
      </c>
      <c r="N17" s="44">
        <f>IF(B3&gt;=DB_SoumisAVS,RS_AC_Plus,0)</f>
        <v>0.011</v>
      </c>
      <c r="O17" s="38"/>
      <c r="P17" s="50" t="e">
        <f>$Q$13*N17</f>
        <v>#N/A</v>
      </c>
      <c r="Q17" s="46"/>
    </row>
    <row r="18" spans="2:17" ht="15">
      <c r="B18" s="15">
        <f t="shared" si="2"/>
        <v>44053</v>
      </c>
      <c r="C18" s="154"/>
      <c r="D18" s="359"/>
      <c r="E18" s="268"/>
      <c r="F18" s="268"/>
      <c r="G18" s="269"/>
      <c r="H18" s="12">
        <f t="shared" si="0"/>
        <v>0</v>
      </c>
      <c r="I18" s="13">
        <f t="shared" si="1"/>
        <v>0</v>
      </c>
      <c r="J18" s="190"/>
      <c r="L18" s="48" t="str">
        <f>'08'!L18</f>
        <v>Nichtbetriebsunfall:</v>
      </c>
      <c r="M18" s="43" t="s">
        <v>244</v>
      </c>
      <c r="N18" s="44">
        <f>RS_ANP_Plus</f>
        <v>0.01641</v>
      </c>
      <c r="O18" s="38"/>
      <c r="P18" s="51" t="e">
        <f>$Q$13*N18</f>
        <v>#N/A</v>
      </c>
      <c r="Q18" s="46"/>
    </row>
    <row r="19" spans="2:17" ht="15">
      <c r="B19" s="15">
        <f t="shared" si="2"/>
        <v>44054</v>
      </c>
      <c r="C19" s="154"/>
      <c r="D19" s="359"/>
      <c r="E19" s="268"/>
      <c r="F19" s="268"/>
      <c r="G19" s="269"/>
      <c r="H19" s="12">
        <f t="shared" si="0"/>
        <v>0</v>
      </c>
      <c r="I19" s="13">
        <f t="shared" si="1"/>
        <v>0</v>
      </c>
      <c r="J19" s="190"/>
      <c r="L19" s="48" t="str">
        <f>'08'!L19</f>
        <v>Krankentaggeld:</v>
      </c>
      <c r="M19" s="43" t="s">
        <v>50</v>
      </c>
      <c r="N19" s="44">
        <f>RS_MC_Plus</f>
        <v>0.0044</v>
      </c>
      <c r="O19" s="38"/>
      <c r="P19" s="50" t="e">
        <f>$Q$13*N19</f>
        <v>#N/A</v>
      </c>
      <c r="Q19" s="46"/>
    </row>
    <row r="20" spans="2:16" ht="15">
      <c r="B20" s="15">
        <f t="shared" si="2"/>
        <v>44055</v>
      </c>
      <c r="C20" s="154"/>
      <c r="D20" s="359"/>
      <c r="E20" s="268"/>
      <c r="F20" s="268"/>
      <c r="G20" s="269"/>
      <c r="H20" s="12">
        <f t="shared" si="0"/>
        <v>0</v>
      </c>
      <c r="I20" s="13">
        <f t="shared" si="1"/>
        <v>0</v>
      </c>
      <c r="J20" s="190"/>
      <c r="L20" s="48" t="str">
        <f>'08'!L20</f>
        <v>Anderer Abzug:</v>
      </c>
      <c r="M20" s="511"/>
      <c r="N20" s="511"/>
      <c r="O20" s="38"/>
      <c r="P20" s="160"/>
    </row>
    <row r="21" spans="2:16" ht="15">
      <c r="B21" s="15">
        <f t="shared" si="2"/>
        <v>44056</v>
      </c>
      <c r="C21" s="154"/>
      <c r="D21" s="359"/>
      <c r="E21" s="268"/>
      <c r="F21" s="268"/>
      <c r="G21" s="269"/>
      <c r="H21" s="12">
        <f t="shared" si="0"/>
        <v>0</v>
      </c>
      <c r="I21" s="13">
        <f t="shared" si="1"/>
        <v>0</v>
      </c>
      <c r="J21" s="190"/>
      <c r="L21" s="38" t="e">
        <f>'08'!L21</f>
        <v>#N/A</v>
      </c>
      <c r="M21" s="34"/>
      <c r="N21" s="34"/>
      <c r="O21" s="38"/>
      <c r="P21" s="50" t="e">
        <f>IF(PN_EffMoy=0,I40,IF(Nb_Mois=12,Sa_NatureMensuelArrondi*PN_SalMoyAoutPlus,Sa_NatureMensuelArrondi*C40/H42))</f>
        <v>#N/A</v>
      </c>
    </row>
    <row r="22" spans="2:16" ht="15">
      <c r="B22" s="15">
        <f t="shared" si="2"/>
        <v>44057</v>
      </c>
      <c r="C22" s="154"/>
      <c r="D22" s="359"/>
      <c r="E22" s="268"/>
      <c r="F22" s="268"/>
      <c r="G22" s="269"/>
      <c r="H22" s="12">
        <f t="shared" si="0"/>
        <v>0</v>
      </c>
      <c r="I22" s="13">
        <f t="shared" si="1"/>
        <v>0</v>
      </c>
      <c r="J22" s="190"/>
      <c r="L22" s="41" t="str">
        <f>'08'!L22</f>
        <v>*) sofern pflichtig</v>
      </c>
      <c r="P22" s="47"/>
    </row>
    <row r="23" spans="2:17" ht="15">
      <c r="B23" s="15">
        <f t="shared" si="2"/>
        <v>44058</v>
      </c>
      <c r="C23" s="154"/>
      <c r="D23" s="359"/>
      <c r="E23" s="268"/>
      <c r="F23" s="268"/>
      <c r="G23" s="269"/>
      <c r="H23" s="12">
        <f t="shared" si="0"/>
        <v>0</v>
      </c>
      <c r="I23" s="13">
        <f t="shared" si="1"/>
        <v>0</v>
      </c>
      <c r="J23" s="190"/>
      <c r="Q23" s="46"/>
    </row>
    <row r="24" spans="2:17" ht="15">
      <c r="B24" s="15">
        <f t="shared" si="2"/>
        <v>44059</v>
      </c>
      <c r="C24" s="154"/>
      <c r="D24" s="359"/>
      <c r="E24" s="268"/>
      <c r="F24" s="268"/>
      <c r="G24" s="269"/>
      <c r="H24" s="12">
        <f t="shared" si="0"/>
        <v>0</v>
      </c>
      <c r="I24" s="13">
        <f t="shared" si="1"/>
        <v>0</v>
      </c>
      <c r="J24" s="190"/>
      <c r="L24" s="39" t="str">
        <f>'08'!L24</f>
        <v>Total Abzüge</v>
      </c>
      <c r="Q24" s="49" t="e">
        <f>INT((SUM(P16:P21)*20)+0.5)/20</f>
        <v>#N/A</v>
      </c>
    </row>
    <row r="25" spans="2:17" ht="15">
      <c r="B25" s="15">
        <f t="shared" si="2"/>
        <v>44060</v>
      </c>
      <c r="C25" s="154"/>
      <c r="D25" s="359"/>
      <c r="E25" s="268"/>
      <c r="F25" s="268"/>
      <c r="G25" s="269"/>
      <c r="H25" s="12">
        <f t="shared" si="0"/>
        <v>0</v>
      </c>
      <c r="I25" s="13">
        <f t="shared" si="1"/>
        <v>0</v>
      </c>
      <c r="J25" s="190"/>
      <c r="Q25" s="47"/>
    </row>
    <row r="26" spans="2:17" ht="15">
      <c r="B26" s="15">
        <f t="shared" si="2"/>
        <v>44061</v>
      </c>
      <c r="C26" s="154"/>
      <c r="D26" s="359"/>
      <c r="E26" s="268"/>
      <c r="F26" s="268"/>
      <c r="G26" s="269"/>
      <c r="H26" s="12">
        <f t="shared" si="0"/>
        <v>0</v>
      </c>
      <c r="I26" s="13">
        <f t="shared" si="1"/>
        <v>0</v>
      </c>
      <c r="J26" s="190"/>
      <c r="L26" s="39" t="str">
        <f>'08'!L26</f>
        <v>Rückvergügungen</v>
      </c>
      <c r="M26" s="34"/>
      <c r="N26" s="34"/>
      <c r="O26" s="38"/>
      <c r="P26" s="45"/>
      <c r="Q26" s="46"/>
    </row>
    <row r="27" spans="2:17" ht="15">
      <c r="B27" s="15">
        <f t="shared" si="2"/>
        <v>44062</v>
      </c>
      <c r="C27" s="154"/>
      <c r="D27" s="359"/>
      <c r="E27" s="268"/>
      <c r="F27" s="268"/>
      <c r="G27" s="269"/>
      <c r="H27" s="12">
        <f t="shared" si="0"/>
        <v>0</v>
      </c>
      <c r="I27" s="13">
        <f t="shared" si="1"/>
        <v>0</v>
      </c>
      <c r="J27" s="190"/>
      <c r="L27" s="38" t="str">
        <f>'08'!L27</f>
        <v>Kostenbeteiligungen</v>
      </c>
      <c r="M27" s="511"/>
      <c r="N27" s="511"/>
      <c r="O27" s="38"/>
      <c r="P27" s="159"/>
      <c r="Q27" s="46"/>
    </row>
    <row r="28" spans="2:17" ht="15">
      <c r="B28" s="15">
        <f t="shared" si="2"/>
        <v>44063</v>
      </c>
      <c r="C28" s="154"/>
      <c r="D28" s="359"/>
      <c r="E28" s="268"/>
      <c r="F28" s="268"/>
      <c r="G28" s="269"/>
      <c r="H28" s="12">
        <f t="shared" si="0"/>
        <v>0</v>
      </c>
      <c r="I28" s="13">
        <f t="shared" si="1"/>
        <v>0</v>
      </c>
      <c r="J28" s="190"/>
      <c r="L28" s="38" t="str">
        <f>'08'!L28</f>
        <v>Übrige Rückvergütungen</v>
      </c>
      <c r="M28" s="512"/>
      <c r="N28" s="512"/>
      <c r="O28" s="38"/>
      <c r="P28" s="160"/>
      <c r="Q28" s="46"/>
    </row>
    <row r="29" spans="2:10" ht="15">
      <c r="B29" s="15">
        <f t="shared" si="2"/>
        <v>44064</v>
      </c>
      <c r="C29" s="154"/>
      <c r="D29" s="359"/>
      <c r="E29" s="268"/>
      <c r="F29" s="268"/>
      <c r="G29" s="269"/>
      <c r="H29" s="12">
        <f t="shared" si="0"/>
        <v>0</v>
      </c>
      <c r="I29" s="13">
        <f t="shared" si="1"/>
        <v>0</v>
      </c>
      <c r="J29" s="190"/>
    </row>
    <row r="30" spans="2:17" ht="15">
      <c r="B30" s="15">
        <f t="shared" si="2"/>
        <v>44065</v>
      </c>
      <c r="C30" s="154"/>
      <c r="D30" s="359"/>
      <c r="E30" s="268"/>
      <c r="F30" s="268"/>
      <c r="G30" s="269"/>
      <c r="H30" s="12">
        <f t="shared" si="0"/>
        <v>0</v>
      </c>
      <c r="I30" s="13">
        <f t="shared" si="1"/>
        <v>0</v>
      </c>
      <c r="J30" s="190"/>
      <c r="L30" s="39" t="str">
        <f>'08'!L30</f>
        <v>Zuschläge</v>
      </c>
      <c r="M30" s="34"/>
      <c r="N30" s="34"/>
      <c r="O30" s="38"/>
      <c r="P30" s="45"/>
      <c r="Q30" s="52">
        <f>SUM(P27:P28)</f>
        <v>0</v>
      </c>
    </row>
    <row r="31" spans="2:17" ht="15">
      <c r="B31" s="15">
        <f t="shared" si="2"/>
        <v>44066</v>
      </c>
      <c r="C31" s="154"/>
      <c r="D31" s="359"/>
      <c r="E31" s="268"/>
      <c r="F31" s="268"/>
      <c r="G31" s="269"/>
      <c r="H31" s="12">
        <f t="shared" si="0"/>
        <v>0</v>
      </c>
      <c r="I31" s="13">
        <f t="shared" si="1"/>
        <v>0</v>
      </c>
      <c r="J31" s="190"/>
      <c r="L31" s="34"/>
      <c r="M31" s="34"/>
      <c r="N31" s="34"/>
      <c r="O31" s="38"/>
      <c r="P31" s="45"/>
      <c r="Q31" s="46"/>
    </row>
    <row r="32" spans="2:17" ht="15">
      <c r="B32" s="15">
        <f t="shared" si="2"/>
        <v>44067</v>
      </c>
      <c r="C32" s="154"/>
      <c r="D32" s="359"/>
      <c r="E32" s="268"/>
      <c r="F32" s="268"/>
      <c r="G32" s="269"/>
      <c r="H32" s="12">
        <f t="shared" si="0"/>
        <v>0</v>
      </c>
      <c r="I32" s="13">
        <f t="shared" si="1"/>
        <v>0</v>
      </c>
      <c r="J32" s="190"/>
      <c r="L32" s="39" t="str">
        <f>'08'!L32</f>
        <v>Netto-Auszahlung</v>
      </c>
      <c r="M32" s="34"/>
      <c r="N32" s="34"/>
      <c r="O32" s="38"/>
      <c r="P32" s="45"/>
      <c r="Q32" s="53" t="e">
        <f>Q13+Q30-Q24</f>
        <v>#N/A</v>
      </c>
    </row>
    <row r="33" spans="2:17" ht="15">
      <c r="B33" s="15">
        <f t="shared" si="2"/>
        <v>44068</v>
      </c>
      <c r="C33" s="154"/>
      <c r="D33" s="359"/>
      <c r="E33" s="268"/>
      <c r="F33" s="268"/>
      <c r="G33" s="269"/>
      <c r="H33" s="12">
        <f t="shared" si="0"/>
        <v>0</v>
      </c>
      <c r="I33" s="13">
        <f t="shared" si="1"/>
        <v>0</v>
      </c>
      <c r="J33" s="190"/>
      <c r="L33" s="34"/>
      <c r="M33" s="386" t="str">
        <f>'08'!M33</f>
        <v>aktueller
Monat</v>
      </c>
      <c r="N33" s="386" t="str">
        <f>'08'!N33</f>
        <v>Summe der
Vormonate</v>
      </c>
      <c r="O33" s="386" t="str">
        <f>'08'!O33</f>
        <v>Jahresvor-
anschlag:</v>
      </c>
      <c r="P33" s="510"/>
      <c r="Q33" s="386" t="str">
        <f>'08'!Q33</f>
        <v>Aktueller
Saldo</v>
      </c>
    </row>
    <row r="34" spans="2:17" ht="15">
      <c r="B34" s="15">
        <f t="shared" si="2"/>
        <v>44069</v>
      </c>
      <c r="C34" s="154"/>
      <c r="D34" s="359"/>
      <c r="E34" s="268"/>
      <c r="F34" s="268"/>
      <c r="G34" s="269"/>
      <c r="H34" s="12">
        <f t="shared" si="0"/>
        <v>0</v>
      </c>
      <c r="I34" s="13">
        <f t="shared" si="1"/>
        <v>0</v>
      </c>
      <c r="J34" s="190"/>
      <c r="L34" s="56" t="str">
        <f>'08'!L34</f>
        <v>Tagesabrechnung</v>
      </c>
      <c r="M34" s="387">
        <f>'08'!M34</f>
        <v>0</v>
      </c>
      <c r="N34" s="387">
        <f>'08'!N34</f>
        <v>0</v>
      </c>
      <c r="O34" s="387">
        <f>'08'!O34</f>
        <v>0</v>
      </c>
      <c r="P34" s="510"/>
      <c r="Q34" s="387">
        <f>'08'!Q34</f>
        <v>0</v>
      </c>
    </row>
    <row r="35" spans="2:17" ht="15">
      <c r="B35" s="15">
        <f t="shared" si="2"/>
        <v>44070</v>
      </c>
      <c r="C35" s="154"/>
      <c r="D35" s="359"/>
      <c r="E35" s="268"/>
      <c r="F35" s="268"/>
      <c r="G35" s="269"/>
      <c r="H35" s="12">
        <f t="shared" si="0"/>
        <v>0</v>
      </c>
      <c r="I35" s="13">
        <f t="shared" si="1"/>
        <v>0</v>
      </c>
      <c r="J35" s="190"/>
      <c r="L35" s="287" t="str">
        <f>'08'!L35</f>
        <v>Arbeit:</v>
      </c>
      <c r="M35" s="262">
        <f aca="true" t="shared" si="3" ref="M35:N38">H43</f>
        <v>0</v>
      </c>
      <c r="N35" s="262">
        <f t="shared" si="3"/>
        <v>0</v>
      </c>
      <c r="O35" s="262" t="e">
        <f>NJ_Travail</f>
        <v>#N/A</v>
      </c>
      <c r="Q35" s="263" t="e">
        <f aca="true" t="shared" si="4" ref="Q35:Q42">O35-N35-M35</f>
        <v>#N/A</v>
      </c>
    </row>
    <row r="36" spans="2:17" ht="15">
      <c r="B36" s="15">
        <f t="shared" si="2"/>
        <v>44071</v>
      </c>
      <c r="C36" s="154"/>
      <c r="D36" s="359"/>
      <c r="E36" s="268"/>
      <c r="F36" s="268"/>
      <c r="G36" s="269"/>
      <c r="H36" s="12">
        <f t="shared" si="0"/>
        <v>0</v>
      </c>
      <c r="I36" s="13">
        <f t="shared" si="1"/>
        <v>0</v>
      </c>
      <c r="J36" s="190"/>
      <c r="L36" s="287" t="str">
        <f>'08'!L36</f>
        <v>Schultage:</v>
      </c>
      <c r="M36" s="178">
        <f t="shared" si="3"/>
        <v>0</v>
      </c>
      <c r="N36" s="178">
        <f t="shared" si="3"/>
        <v>0</v>
      </c>
      <c r="O36" s="178" t="e">
        <f>NJ_CoursProf</f>
        <v>#N/A</v>
      </c>
      <c r="Q36" s="179" t="e">
        <f t="shared" si="4"/>
        <v>#N/A</v>
      </c>
    </row>
    <row r="37" spans="2:17" ht="15">
      <c r="B37" s="15">
        <f t="shared" si="2"/>
        <v>44072</v>
      </c>
      <c r="C37" s="154"/>
      <c r="D37" s="359"/>
      <c r="E37" s="268"/>
      <c r="F37" s="268"/>
      <c r="G37" s="269"/>
      <c r="H37" s="12">
        <f t="shared" si="0"/>
        <v>0</v>
      </c>
      <c r="I37" s="13">
        <f t="shared" si="1"/>
        <v>0</v>
      </c>
      <c r="J37" s="190"/>
      <c r="L37" s="287" t="str">
        <f>'08'!L37</f>
        <v>üK:</v>
      </c>
      <c r="M37" s="178">
        <f t="shared" si="3"/>
        <v>0</v>
      </c>
      <c r="N37" s="178">
        <f t="shared" si="3"/>
        <v>0</v>
      </c>
      <c r="O37" s="178" t="e">
        <f>NJ_CoursIE</f>
        <v>#N/A</v>
      </c>
      <c r="Q37" s="179" t="e">
        <f t="shared" si="4"/>
        <v>#N/A</v>
      </c>
    </row>
    <row r="38" spans="2:17" ht="15">
      <c r="B38" s="15">
        <f t="shared" si="2"/>
        <v>44073</v>
      </c>
      <c r="C38" s="154"/>
      <c r="D38" s="359"/>
      <c r="E38" s="268"/>
      <c r="F38" s="268"/>
      <c r="G38" s="269"/>
      <c r="H38" s="12">
        <f t="shared" si="0"/>
        <v>0</v>
      </c>
      <c r="I38" s="13">
        <f t="shared" si="1"/>
        <v>0</v>
      </c>
      <c r="J38" s="190"/>
      <c r="L38" s="287" t="str">
        <f>'08'!L38</f>
        <v>Militär:</v>
      </c>
      <c r="M38" s="178">
        <f t="shared" si="3"/>
        <v>0</v>
      </c>
      <c r="N38" s="178">
        <f t="shared" si="3"/>
        <v>0</v>
      </c>
      <c r="O38" s="178">
        <f>NJ_Bloc</f>
        <v>0</v>
      </c>
      <c r="Q38" s="179">
        <f t="shared" si="4"/>
        <v>0</v>
      </c>
    </row>
    <row r="39" spans="2:17" ht="15.75" thickBot="1">
      <c r="B39" s="58">
        <f t="shared" si="2"/>
        <v>44074</v>
      </c>
      <c r="C39" s="154"/>
      <c r="D39" s="359"/>
      <c r="E39" s="268"/>
      <c r="F39" s="268"/>
      <c r="G39" s="269"/>
      <c r="H39" s="12">
        <f t="shared" si="0"/>
        <v>0</v>
      </c>
      <c r="I39" s="13">
        <f t="shared" si="1"/>
        <v>0</v>
      </c>
      <c r="J39" s="191"/>
      <c r="L39" s="287" t="str">
        <f>'08'!L39</f>
        <v>Frei:</v>
      </c>
      <c r="M39" s="262">
        <f aca="true" t="shared" si="5" ref="M39:N42">H47</f>
        <v>0</v>
      </c>
      <c r="N39" s="262">
        <f t="shared" si="5"/>
        <v>0</v>
      </c>
      <c r="O39" s="262" t="e">
        <f>NJ_Conge</f>
        <v>#N/A</v>
      </c>
      <c r="Q39" s="263" t="e">
        <f t="shared" si="4"/>
        <v>#N/A</v>
      </c>
    </row>
    <row r="40" spans="2:17" ht="15.75" thickBot="1">
      <c r="B40" s="335" t="str">
        <f>'08'!B40</f>
        <v>Total</v>
      </c>
      <c r="C40" s="336">
        <f>COUNTIF(C9:C39,"a")+COUNTIF(C9:C39,"b")+COUNTIF(C9:C39,"c")+COUNTIF(C9:C39,"d")+COUNTIF(C9:C39,"e")+COUNTIF(C9:C39,"f")+COUNTIF(C9:C39,"g")+COUNTIF(C9:C39,"h")+COUNTIF(C9:C39,"i")</f>
        <v>0</v>
      </c>
      <c r="D40" s="17">
        <f aca="true" t="shared" si="6" ref="D40:I40">SUM(D9:D39)</f>
        <v>0</v>
      </c>
      <c r="E40" s="18">
        <f t="shared" si="6"/>
        <v>0</v>
      </c>
      <c r="F40" s="18">
        <f t="shared" si="6"/>
        <v>0</v>
      </c>
      <c r="G40" s="19">
        <f t="shared" si="6"/>
        <v>0</v>
      </c>
      <c r="H40" s="20">
        <f t="shared" si="6"/>
        <v>0</v>
      </c>
      <c r="I40" s="21">
        <f t="shared" si="6"/>
        <v>0</v>
      </c>
      <c r="J40" s="337" t="e">
        <f>INT(((Sa_NatureMensuel/H42*C40)*20)+0.5)/20</f>
        <v>#N/A</v>
      </c>
      <c r="L40" s="288" t="str">
        <f>'08'!L40</f>
        <v>Ferien:</v>
      </c>
      <c r="M40" s="289">
        <f t="shared" si="5"/>
        <v>0</v>
      </c>
      <c r="N40" s="289">
        <f t="shared" si="5"/>
        <v>0</v>
      </c>
      <c r="O40" s="289" t="e">
        <f>NJ_Vacances</f>
        <v>#N/A</v>
      </c>
      <c r="Q40" s="290" t="e">
        <f t="shared" si="4"/>
        <v>#N/A</v>
      </c>
    </row>
    <row r="41" spans="2:17" ht="15.75" thickBot="1">
      <c r="B41" s="452"/>
      <c r="C41" s="453"/>
      <c r="D41" s="453"/>
      <c r="E41" s="453"/>
      <c r="F41" s="453"/>
      <c r="G41" s="506"/>
      <c r="H41" s="286">
        <f>B3</f>
        <v>44044</v>
      </c>
      <c r="I41" s="22" t="str">
        <f>'08'!I41</f>
        <v>Total</v>
      </c>
      <c r="J41" s="23"/>
      <c r="L41" s="288" t="str">
        <f>'08'!L41</f>
        <v>Unfall:</v>
      </c>
      <c r="M41" s="289">
        <f t="shared" si="5"/>
        <v>0</v>
      </c>
      <c r="N41" s="289">
        <f t="shared" si="5"/>
        <v>0</v>
      </c>
      <c r="O41" s="289">
        <v>0</v>
      </c>
      <c r="Q41" s="290">
        <f t="shared" si="4"/>
        <v>0</v>
      </c>
    </row>
    <row r="42" spans="2:17" ht="15">
      <c r="B42" s="408" t="str">
        <f>'08'!B42</f>
        <v>Tagesabrechnung</v>
      </c>
      <c r="C42" s="409" t="e">
        <f>'08'!C42</f>
        <v>#N/A</v>
      </c>
      <c r="D42" s="409" t="e">
        <f>'08'!D42</f>
        <v>#REF!</v>
      </c>
      <c r="E42" s="409" t="e">
        <f>'08'!E42</f>
        <v>#REF!</v>
      </c>
      <c r="F42" s="409" t="e">
        <f>'08'!F42</f>
        <v>#REF!</v>
      </c>
      <c r="G42" s="410" t="e">
        <f>'08'!G42</f>
        <v>#REF!</v>
      </c>
      <c r="H42" s="24">
        <v>31</v>
      </c>
      <c r="I42" s="25">
        <f>SUM('07'!H42:I42)</f>
        <v>366</v>
      </c>
      <c r="J42" s="26"/>
      <c r="L42" s="287" t="str">
        <f>'08'!L42</f>
        <v>Krankheit:</v>
      </c>
      <c r="M42" s="178">
        <f t="shared" si="5"/>
        <v>0</v>
      </c>
      <c r="N42" s="178">
        <f t="shared" si="5"/>
        <v>0</v>
      </c>
      <c r="O42" s="178">
        <v>0</v>
      </c>
      <c r="Q42" s="179">
        <f t="shared" si="4"/>
        <v>0</v>
      </c>
    </row>
    <row r="43" spans="2:10" ht="15">
      <c r="B43" s="402" t="str">
        <f>'08'!B43</f>
        <v>Arbeitstage ( a )</v>
      </c>
      <c r="C43" s="403" t="e">
        <f>'08'!C43</f>
        <v>#N/A</v>
      </c>
      <c r="D43" s="403" t="e">
        <f>'08'!D43</f>
        <v>#REF!</v>
      </c>
      <c r="E43" s="403" t="e">
        <f>'08'!E43</f>
        <v>#REF!</v>
      </c>
      <c r="F43" s="403" t="e">
        <f>'08'!F43</f>
        <v>#REF!</v>
      </c>
      <c r="G43" s="404" t="e">
        <f>'08'!G43</f>
        <v>#REF!</v>
      </c>
      <c r="H43" s="27">
        <f>COUNTIF(C9:C39,"a")+COUNTIF(C9:C39,"f")/2</f>
        <v>0</v>
      </c>
      <c r="I43" s="28">
        <f>SUM('07'!H43:I43)</f>
        <v>0</v>
      </c>
      <c r="J43" s="29"/>
    </row>
    <row r="44" spans="2:17" ht="15">
      <c r="B44" s="402" t="str">
        <f>'08'!B44</f>
        <v>Schultage ( b )</v>
      </c>
      <c r="C44" s="403" t="e">
        <f>'08'!C44</f>
        <v>#N/A</v>
      </c>
      <c r="D44" s="403" t="e">
        <f>'08'!D44</f>
        <v>#REF!</v>
      </c>
      <c r="E44" s="403" t="e">
        <f>'08'!E44</f>
        <v>#REF!</v>
      </c>
      <c r="F44" s="403" t="e">
        <f>'08'!F44</f>
        <v>#REF!</v>
      </c>
      <c r="G44" s="404" t="e">
        <f>'08'!G44</f>
        <v>#REF!</v>
      </c>
      <c r="H44" s="27">
        <f>COUNTIF(C9:C39,"b")</f>
        <v>0</v>
      </c>
      <c r="I44" s="28">
        <f>SUM('07'!H44:I44)</f>
        <v>0</v>
      </c>
      <c r="J44" s="29"/>
      <c r="L44" s="38" t="str">
        <f>'08'!L44</f>
        <v>Bemerkungen:</v>
      </c>
      <c r="M44" s="513"/>
      <c r="N44" s="514"/>
      <c r="O44" s="514"/>
      <c r="P44" s="514"/>
      <c r="Q44" s="515"/>
    </row>
    <row r="45" spans="2:17" ht="15">
      <c r="B45" s="402" t="str">
        <f>'08'!B45</f>
        <v>überbetriebliche Kurse ( c )</v>
      </c>
      <c r="C45" s="403" t="e">
        <f>'08'!C45</f>
        <v>#N/A</v>
      </c>
      <c r="D45" s="403" t="e">
        <f>'08'!D45</f>
        <v>#REF!</v>
      </c>
      <c r="E45" s="403" t="e">
        <f>'08'!E45</f>
        <v>#REF!</v>
      </c>
      <c r="F45" s="403" t="e">
        <f>'08'!F45</f>
        <v>#REF!</v>
      </c>
      <c r="G45" s="404" t="e">
        <f>'08'!G45</f>
        <v>#REF!</v>
      </c>
      <c r="H45" s="27">
        <f>COUNTIF(C9:C39,"c")</f>
        <v>0</v>
      </c>
      <c r="I45" s="28">
        <f>SUM('07'!H45:I45)</f>
        <v>0</v>
      </c>
      <c r="J45" s="29"/>
      <c r="L45" s="34"/>
      <c r="M45" s="516"/>
      <c r="N45" s="517"/>
      <c r="O45" s="517"/>
      <c r="P45" s="517"/>
      <c r="Q45" s="518"/>
    </row>
    <row r="46" spans="2:17" ht="15">
      <c r="B46" s="402" t="str">
        <f>'08'!B46</f>
        <v>Militär ( i )</v>
      </c>
      <c r="C46" s="403" t="e">
        <f>'08'!C46</f>
        <v>#N/A</v>
      </c>
      <c r="D46" s="403" t="e">
        <f>'08'!D46</f>
        <v>#REF!</v>
      </c>
      <c r="E46" s="403" t="e">
        <f>'08'!E46</f>
        <v>#REF!</v>
      </c>
      <c r="F46" s="403" t="e">
        <f>'08'!F46</f>
        <v>#REF!</v>
      </c>
      <c r="G46" s="404" t="e">
        <f>'08'!G46</f>
        <v>#REF!</v>
      </c>
      <c r="H46" s="27">
        <f>COUNTIF(C9:C39,"i")</f>
        <v>0</v>
      </c>
      <c r="I46" s="28">
        <f>SUM('07'!H46:I46)</f>
        <v>0</v>
      </c>
      <c r="J46" s="29"/>
      <c r="L46" s="34"/>
      <c r="M46" s="519"/>
      <c r="N46" s="520"/>
      <c r="O46" s="520"/>
      <c r="P46" s="520"/>
      <c r="Q46" s="521"/>
    </row>
    <row r="47" spans="2:17" ht="15">
      <c r="B47" s="402" t="str">
        <f>'08'!B47</f>
        <v>Frei ( d )</v>
      </c>
      <c r="C47" s="403" t="e">
        <f>'08'!C47</f>
        <v>#N/A</v>
      </c>
      <c r="D47" s="403" t="e">
        <f>'08'!D47</f>
        <v>#REF!</v>
      </c>
      <c r="E47" s="403" t="e">
        <f>'08'!E47</f>
        <v>#REF!</v>
      </c>
      <c r="F47" s="403" t="e">
        <f>'08'!F47</f>
        <v>#REF!</v>
      </c>
      <c r="G47" s="404" t="e">
        <f>'08'!G47</f>
        <v>#REF!</v>
      </c>
      <c r="H47" s="27">
        <f>COUNTIF(C9:C39,"d")+COUNTIF(C9:C39,"f")/2</f>
        <v>0</v>
      </c>
      <c r="I47" s="28">
        <f>SUM('07'!H47:I47)</f>
        <v>0</v>
      </c>
      <c r="J47" s="29"/>
      <c r="L47" s="34"/>
      <c r="M47" s="34"/>
      <c r="N47" s="34"/>
      <c r="O47" s="38"/>
      <c r="P47" s="34"/>
      <c r="Q47" s="40"/>
    </row>
    <row r="48" spans="1:17" ht="15">
      <c r="A48" s="7">
        <v>289</v>
      </c>
      <c r="B48" s="402" t="str">
        <f>'08'!B48</f>
        <v>Ferien ( e )</v>
      </c>
      <c r="C48" s="403" t="e">
        <f>'08'!C48</f>
        <v>#N/A</v>
      </c>
      <c r="D48" s="403" t="e">
        <f>'08'!D48</f>
        <v>#REF!</v>
      </c>
      <c r="E48" s="403" t="e">
        <f>'08'!E48</f>
        <v>#REF!</v>
      </c>
      <c r="F48" s="403" t="e">
        <f>'08'!F48</f>
        <v>#REF!</v>
      </c>
      <c r="G48" s="404" t="e">
        <f>'08'!G48</f>
        <v>#REF!</v>
      </c>
      <c r="H48" s="27">
        <f>COUNTIF(C9:C39,"e")</f>
        <v>0</v>
      </c>
      <c r="I48" s="28">
        <f>SUM('07'!H48:I48)</f>
        <v>0</v>
      </c>
      <c r="J48" s="29"/>
      <c r="L48" s="38" t="str">
        <f>'08'!L48</f>
        <v>Datum</v>
      </c>
      <c r="M48" s="177"/>
      <c r="N48" s="34"/>
      <c r="O48" s="38" t="str">
        <f>'08'!O48</f>
        <v>Berufsbildner /in</v>
      </c>
      <c r="P48" s="54"/>
      <c r="Q48" s="55"/>
    </row>
    <row r="49" spans="1:17" ht="15">
      <c r="A49" s="7">
        <v>290</v>
      </c>
      <c r="B49" s="402" t="str">
        <f>'08'!B49</f>
        <v>Unfall ( g )</v>
      </c>
      <c r="C49" s="403" t="e">
        <f>'08'!C49</f>
        <v>#N/A</v>
      </c>
      <c r="D49" s="403" t="e">
        <f>'08'!D49</f>
        <v>#REF!</v>
      </c>
      <c r="E49" s="403" t="e">
        <f>'08'!E49</f>
        <v>#REF!</v>
      </c>
      <c r="F49" s="403" t="e">
        <f>'08'!F49</f>
        <v>#REF!</v>
      </c>
      <c r="G49" s="404" t="e">
        <f>'08'!G49</f>
        <v>#REF!</v>
      </c>
      <c r="H49" s="27">
        <f>COUNTIF(C9:C39,"g")</f>
        <v>0</v>
      </c>
      <c r="I49" s="28">
        <f>SUM('07'!H49:I49)</f>
        <v>0</v>
      </c>
      <c r="J49" s="29"/>
      <c r="L49" s="34"/>
      <c r="M49" s="34"/>
      <c r="N49" s="34"/>
      <c r="O49" s="38"/>
      <c r="P49" s="34"/>
      <c r="Q49" s="40"/>
    </row>
    <row r="50" spans="1:17" s="7" customFormat="1" ht="15.75" thickBot="1">
      <c r="A50" s="285">
        <v>291</v>
      </c>
      <c r="B50" s="383" t="str">
        <f>'08'!B50</f>
        <v>Krankheit ( h )</v>
      </c>
      <c r="C50" s="384" t="e">
        <f>'08'!C50</f>
        <v>#N/A</v>
      </c>
      <c r="D50" s="384" t="e">
        <f>'08'!D50</f>
        <v>#REF!</v>
      </c>
      <c r="E50" s="384" t="e">
        <f>'08'!E50</f>
        <v>#REF!</v>
      </c>
      <c r="F50" s="384" t="e">
        <f>'08'!F50</f>
        <v>#REF!</v>
      </c>
      <c r="G50" s="385" t="e">
        <f>'08'!G50</f>
        <v>#REF!</v>
      </c>
      <c r="H50" s="30">
        <f>COUNTIF(C9:C39,"h")</f>
        <v>0</v>
      </c>
      <c r="I50" s="31">
        <f>SUM('07'!H50:I50)</f>
        <v>0</v>
      </c>
      <c r="J50" s="32"/>
      <c r="L50" s="34"/>
      <c r="M50" s="35"/>
      <c r="N50" s="34"/>
      <c r="O50" s="38" t="str">
        <f>'08'!O50</f>
        <v>Lernende /r</v>
      </c>
      <c r="P50" s="54"/>
      <c r="Q50" s="55"/>
    </row>
    <row r="51" spans="12:17" ht="14.25">
      <c r="L51" s="34"/>
      <c r="M51" s="35"/>
      <c r="N51" s="34"/>
      <c r="O51" s="38"/>
      <c r="P51" s="54"/>
      <c r="Q51" s="55"/>
    </row>
  </sheetData>
  <sheetProtection password="83EF" sheet="1" objects="1" scenarios="1"/>
  <mergeCells count="37">
    <mergeCell ref="C2:J2"/>
    <mergeCell ref="B1:J1"/>
    <mergeCell ref="L1:Q1"/>
    <mergeCell ref="M3:N3"/>
    <mergeCell ref="O3:P3"/>
    <mergeCell ref="B3:B8"/>
    <mergeCell ref="C3:C8"/>
    <mergeCell ref="D3:D8"/>
    <mergeCell ref="E3:E8"/>
    <mergeCell ref="G3:G8"/>
    <mergeCell ref="H3:H8"/>
    <mergeCell ref="I3:I8"/>
    <mergeCell ref="F3:F8"/>
    <mergeCell ref="J3:J8"/>
    <mergeCell ref="M5:Q5"/>
    <mergeCell ref="M6:Q6"/>
    <mergeCell ref="M20:N20"/>
    <mergeCell ref="M27:N27"/>
    <mergeCell ref="M28:N28"/>
    <mergeCell ref="M7:Q7"/>
    <mergeCell ref="M8:N8"/>
    <mergeCell ref="M44:Q46"/>
    <mergeCell ref="Q33:Q34"/>
    <mergeCell ref="B46:G46"/>
    <mergeCell ref="B50:G50"/>
    <mergeCell ref="B43:G43"/>
    <mergeCell ref="B47:G47"/>
    <mergeCell ref="B44:G44"/>
    <mergeCell ref="B45:G45"/>
    <mergeCell ref="B48:G48"/>
    <mergeCell ref="B49:G49"/>
    <mergeCell ref="B41:G41"/>
    <mergeCell ref="B42:G42"/>
    <mergeCell ref="N33:N34"/>
    <mergeCell ref="M33:M34"/>
    <mergeCell ref="P33:P34"/>
    <mergeCell ref="O33:O34"/>
  </mergeCells>
  <conditionalFormatting sqref="E9:E39">
    <cfRule type="cellIs" priority="32" dxfId="9" operator="lessThan" stopIfTrue="1">
      <formula>0</formula>
    </cfRule>
    <cfRule type="cellIs" priority="33" dxfId="8" operator="greaterThan" stopIfTrue="1">
      <formula>0</formula>
    </cfRule>
    <cfRule type="expression" priority="34" dxfId="7" stopIfTrue="1">
      <formula>OR(C9="a",C9="b",C9="c")</formula>
    </cfRule>
  </conditionalFormatting>
  <conditionalFormatting sqref="F9:F39">
    <cfRule type="cellIs" priority="35" dxfId="9" operator="lessThan" stopIfTrue="1">
      <formula>0</formula>
    </cfRule>
    <cfRule type="cellIs" priority="36" dxfId="8" operator="greaterThan" stopIfTrue="1">
      <formula>0</formula>
    </cfRule>
    <cfRule type="expression" priority="37" dxfId="7" stopIfTrue="1">
      <formula>OR(C9="a")</formula>
    </cfRule>
  </conditionalFormatting>
  <conditionalFormatting sqref="G9:G39">
    <cfRule type="cellIs" priority="38" dxfId="9" operator="lessThan" stopIfTrue="1">
      <formula>0</formula>
    </cfRule>
    <cfRule type="cellIs" priority="39" dxfId="8" operator="greaterThan" stopIfTrue="1">
      <formula>0</formula>
    </cfRule>
    <cfRule type="expression" priority="40" dxfId="7" stopIfTrue="1">
      <formula>OR(C9="a",C9="b",C9="c")</formula>
    </cfRule>
  </conditionalFormatting>
  <conditionalFormatting sqref="B9:B39">
    <cfRule type="expression" priority="28" dxfId="0" stopIfTrue="1">
      <formula>WEEKDAY(B9)=1</formula>
    </cfRule>
  </conditionalFormatting>
  <conditionalFormatting sqref="D9:D39">
    <cfRule type="cellIs" priority="42" dxfId="9" operator="lessThan" stopIfTrue="1">
      <formula>0</formula>
    </cfRule>
    <cfRule type="cellIs" priority="43" dxfId="8" operator="greaterThan" stopIfTrue="1">
      <formula>0</formula>
    </cfRule>
    <cfRule type="expression" priority="44" dxfId="7" stopIfTrue="1">
      <formula>AND(C9&lt;&gt;"",OR(PN_LogisOuiNon=1,AND(PN_LogisOuiNon=2,C9&lt;&gt;"i")))</formula>
    </cfRule>
  </conditionalFormatting>
  <conditionalFormatting sqref="C9:C39">
    <cfRule type="expression" priority="45" dxfId="2" stopIfTrue="1">
      <formula>AND(C9&lt;&gt;"",C9&lt;&gt;"a",C9&lt;&gt;"b",C9&lt;&gt;"c",C9&lt;&gt;"d",C9&lt;&gt;"e",C9&lt;&gt;"f",C9&lt;&gt;"g",C9&lt;&gt;"h",C9&lt;&gt;"i")</formula>
    </cfRule>
  </conditionalFormatting>
  <conditionalFormatting sqref="D9:D39">
    <cfRule type="cellIs" priority="19" dxfId="9" operator="lessThan" stopIfTrue="1">
      <formula>0</formula>
    </cfRule>
    <cfRule type="cellIs" priority="20" dxfId="8" operator="greaterThan" stopIfTrue="1">
      <formula>0</formula>
    </cfRule>
    <cfRule type="expression" priority="21" dxfId="7" stopIfTrue="1">
      <formula>AND(C9&lt;&gt;"",C9&lt;&gt;"i")</formula>
    </cfRule>
  </conditionalFormatting>
  <conditionalFormatting sqref="D9:D39">
    <cfRule type="cellIs" priority="16" dxfId="9" operator="lessThan" stopIfTrue="1">
      <formula>0</formula>
    </cfRule>
    <cfRule type="cellIs" priority="17" dxfId="8" operator="greaterThan" stopIfTrue="1">
      <formula>0</formula>
    </cfRule>
    <cfRule type="expression" priority="18" dxfId="7" stopIfTrue="1">
      <formula>AND(C9&lt;&gt;"",C9&lt;&gt;"i")</formula>
    </cfRule>
  </conditionalFormatting>
  <conditionalFormatting sqref="D9:D39">
    <cfRule type="cellIs" priority="13" dxfId="9" operator="lessThan" stopIfTrue="1">
      <formula>0</formula>
    </cfRule>
    <cfRule type="cellIs" priority="14" dxfId="8" operator="greaterThan" stopIfTrue="1">
      <formula>0</formula>
    </cfRule>
    <cfRule type="expression" priority="15" dxfId="7" stopIfTrue="1">
      <formula>AND(C9&lt;&gt;"",OR(PN_LogisOuiNon=1,AND(PN_LogisOuiNon=2,C9&lt;&gt;"i")))</formula>
    </cfRule>
  </conditionalFormatting>
  <conditionalFormatting sqref="D9:D39">
    <cfRule type="cellIs" priority="10" dxfId="9" operator="lessThan" stopIfTrue="1">
      <formula>0</formula>
    </cfRule>
    <cfRule type="cellIs" priority="11" dxfId="8" operator="greaterThan" stopIfTrue="1">
      <formula>0</formula>
    </cfRule>
    <cfRule type="expression" priority="12" dxfId="7" stopIfTrue="1">
      <formula>AND(C9&lt;&gt;"",C9&lt;&gt;"i")</formula>
    </cfRule>
  </conditionalFormatting>
  <conditionalFormatting sqref="D9:D39">
    <cfRule type="cellIs" priority="7" dxfId="9" operator="lessThan" stopIfTrue="1">
      <formula>0</formula>
    </cfRule>
    <cfRule type="cellIs" priority="8" dxfId="8" operator="greaterThan" stopIfTrue="1">
      <formula>0</formula>
    </cfRule>
    <cfRule type="expression" priority="9" dxfId="7" stopIfTrue="1">
      <formula>AND(C9&lt;&gt;"",OR(PN_LogisOuiNon=1,AND(PN_LogisOuiNon=2,C9&lt;&gt;"i")))</formula>
    </cfRule>
  </conditionalFormatting>
  <conditionalFormatting sqref="D9:D39">
    <cfRule type="cellIs" priority="4" dxfId="9" operator="lessThan" stopIfTrue="1">
      <formula>0</formula>
    </cfRule>
    <cfRule type="cellIs" priority="5" dxfId="8" operator="greaterThan" stopIfTrue="1">
      <formula>0</formula>
    </cfRule>
    <cfRule type="expression" priority="6" dxfId="7" stopIfTrue="1">
      <formula>AND(C9&lt;&gt;"",OR(PN_LogisOuiNon=1,AND(PN_LogisOuiNon=2,C9&lt;&gt;"j")))</formula>
    </cfRule>
  </conditionalFormatting>
  <conditionalFormatting sqref="H9:H39">
    <cfRule type="expression" priority="1" dxfId="6" stopIfTrue="1">
      <formula>C9="a"</formula>
    </cfRule>
    <cfRule type="expression" priority="2" dxfId="5" stopIfTrue="1">
      <formula>OR(C9="b",C9="c")</formula>
    </cfRule>
    <cfRule type="expression" priority="3" dxfId="0" stopIfTrue="1">
      <formula>OR(C9="d",C9="e")</formula>
    </cfRule>
  </conditionalFormatting>
  <hyperlinks>
    <hyperlink ref="C3:C8" location="Help_Code" display="Help_Code"/>
  </hyperlinks>
  <printOptions horizontalCentered="1" verticalCentered="1"/>
  <pageMargins left="0.3937007874015748" right="0.3937007874015748" top="0.5905511811023623" bottom="0.3937007874015748" header="0.5118110236220472" footer="0.31496062992125984"/>
  <pageSetup horizontalDpi="600" verticalDpi="600" orientation="portrait" paperSize="9" r:id="rId1"/>
  <headerFooter alignWithMargins="0">
    <oddFooter>&amp;L&amp;A&amp;RPage &amp;P</oddFooter>
  </headerFooter>
</worksheet>
</file>

<file path=xl/worksheets/sheet16.xml><?xml version="1.0" encoding="utf-8"?>
<worksheet xmlns="http://schemas.openxmlformats.org/spreadsheetml/2006/main" xmlns:r="http://schemas.openxmlformats.org/officeDocument/2006/relationships">
  <sheetPr codeName="Sheet17">
    <pageSetUpPr fitToPage="1"/>
  </sheetPr>
  <dimension ref="A1:Z48"/>
  <sheetViews>
    <sheetView zoomScalePageLayoutView="0" workbookViewId="0" topLeftCell="B1">
      <selection activeCell="U26" sqref="U26"/>
    </sheetView>
  </sheetViews>
  <sheetFormatPr defaultColWidth="9.140625" defaultRowHeight="12.75"/>
  <cols>
    <col min="1" max="1" width="14.00390625" style="7" hidden="1" customWidth="1"/>
    <col min="2" max="2" width="20.7109375" style="61" customWidth="1"/>
    <col min="3" max="3" width="11.7109375" style="70" customWidth="1"/>
    <col min="4" max="4" width="10.7109375" style="70" customWidth="1"/>
    <col min="5" max="5" width="11.7109375" style="70" customWidth="1"/>
    <col min="6" max="7" width="10.7109375" style="70" customWidth="1"/>
    <col min="8" max="8" width="10.7109375" style="71" customWidth="1"/>
    <col min="9" max="9" width="10.7109375" style="72" customWidth="1"/>
    <col min="10" max="10" width="10.7109375" style="73" customWidth="1"/>
    <col min="11" max="12" width="11.7109375" style="73" customWidth="1"/>
    <col min="13" max="14" width="10.7109375" style="73" customWidth="1"/>
    <col min="15" max="16" width="11.7109375" style="72" customWidth="1"/>
    <col min="17" max="17" width="11.7109375" style="73" customWidth="1"/>
    <col min="18" max="18" width="11.7109375" style="72" customWidth="1"/>
    <col min="19" max="16384" width="9.140625" style="60" customWidth="1"/>
  </cols>
  <sheetData>
    <row r="1" spans="1:14" ht="15.75" thickBot="1">
      <c r="A1" s="163">
        <v>300</v>
      </c>
      <c r="C1" s="562" t="str">
        <f>VLOOKUP(A1,Tb_Traduction,DB_Langue,FALSE)</f>
        <v>Lohn   </v>
      </c>
      <c r="D1" s="563"/>
      <c r="E1" s="71"/>
      <c r="F1" s="569" t="str">
        <f>VLOOKUP(A1+1,Tb_Traduction,DB_Langue,FALSE)</f>
        <v>Abzüge</v>
      </c>
      <c r="G1" s="570"/>
      <c r="H1" s="570"/>
      <c r="I1" s="570"/>
      <c r="J1" s="570"/>
      <c r="K1" s="571"/>
      <c r="M1" s="572" t="str">
        <f>VLOOKUP(A1+2,Tb_Traduction,DB_Langue,FALSE)</f>
        <v>Rückvergügungen</v>
      </c>
      <c r="N1" s="573"/>
    </row>
    <row r="2" spans="1:18" ht="144" thickBot="1">
      <c r="A2" s="172">
        <v>310</v>
      </c>
      <c r="B2" s="65" t="str">
        <f>VLOOKUP(A2,Tb_Traduction,DB_Langue,FALSE)</f>
        <v>Monat</v>
      </c>
      <c r="C2" s="90" t="str">
        <f>VLOOKUP(A2+1,Tb_Traduction,DB_Langue,FALSE)</f>
        <v>Bruttolohn</v>
      </c>
      <c r="D2" s="91" t="str">
        <f>VLOOKUP(A2+2,Tb_Traduction,DB_Langue,FALSE)</f>
        <v>Prämie, Bonus, Gratifikation</v>
      </c>
      <c r="E2" s="78" t="str">
        <f>VLOOKUP(A2+3,Tb_Traduction,DB_Langue,FALSE)</f>
        <v>Bruttolohn total</v>
      </c>
      <c r="F2" s="75" t="str">
        <f>VLOOKUP(A2+4,Tb_Traduction,DB_Langue,FALSE)</f>
        <v>Abzüge AHV, IV</v>
      </c>
      <c r="G2" s="76" t="str">
        <f>VLOOKUP(A2+5,Tb_Traduction,DB_Langue,FALSE)</f>
        <v>Abzüge ALV</v>
      </c>
      <c r="H2" s="76" t="str">
        <f>VLOOKUP(A2+6,Tb_Traduction,DB_Langue,FALSE)</f>
        <v>Nichtbetriebsunfall</v>
      </c>
      <c r="I2" s="76" t="str">
        <f>VLOOKUP(A2+7,Tb_Traduction,DB_Langue,FALSE)</f>
        <v>Krankentaggeld</v>
      </c>
      <c r="J2" s="76" t="str">
        <f>VLOOKUP(A2+8,Tb_Traduction,DB_Langue,FALSE)</f>
        <v>Übrige Abzüge</v>
      </c>
      <c r="K2" s="77" t="str">
        <f>VLOOKUP(A2+9,Tb_Traduction,DB_Langue,FALSE)</f>
        <v>Effektiver Naturallohn</v>
      </c>
      <c r="L2" s="74" t="str">
        <f>VLOOKUP(A2+10,Tb_Traduction,DB_Langue,FALSE)</f>
        <v>Abzüge</v>
      </c>
      <c r="M2" s="75" t="str">
        <f>VLOOKUP(A2+11,Tb_Traduction,DB_Langue,FALSE)</f>
        <v>Kostenbeteiligungen</v>
      </c>
      <c r="N2" s="77" t="str">
        <f>VLOOKUP(A2+12,Tb_Traduction,DB_Langue,FALSE)</f>
        <v>Übrige Rückvergütungen</v>
      </c>
      <c r="O2" s="74" t="str">
        <f>VLOOKUP(A2+13,Tb_Traduction,DB_Langue,FALSE)</f>
        <v>Zuschläge</v>
      </c>
      <c r="P2" s="78" t="str">
        <f>VLOOKUP(A2+14,Tb_Traduction,DB_Langue,FALSE)</f>
        <v>Monatsauszahlung</v>
      </c>
      <c r="Q2" s="79" t="str">
        <f>VLOOKUP(A2+15,Tb_Traduction,DB_Langue,FALSE)</f>
        <v>Effektive Auszahlung</v>
      </c>
      <c r="R2" s="78" t="str">
        <f>VLOOKUP(A2+16,Tb_Traduction,DB_Langue,FALSE)</f>
        <v>Differenz</v>
      </c>
    </row>
    <row r="3" spans="2:18" ht="15">
      <c r="B3" s="62">
        <f>'08'!B3</f>
        <v>43678</v>
      </c>
      <c r="C3" s="93" t="e">
        <f>'08'!Q11</f>
        <v>#N/A</v>
      </c>
      <c r="D3" s="94">
        <f>'08'!Q12</f>
        <v>0</v>
      </c>
      <c r="E3" s="81" t="e">
        <f>C3+D3</f>
        <v>#N/A</v>
      </c>
      <c r="F3" s="95" t="e">
        <f>'08'!P16</f>
        <v>#N/A</v>
      </c>
      <c r="G3" s="96" t="e">
        <f>'08'!P17</f>
        <v>#N/A</v>
      </c>
      <c r="H3" s="96" t="e">
        <f>'08'!P18</f>
        <v>#N/A</v>
      </c>
      <c r="I3" s="96" t="e">
        <f>'08'!P19</f>
        <v>#N/A</v>
      </c>
      <c r="J3" s="96">
        <f>'08'!P20</f>
        <v>0</v>
      </c>
      <c r="K3" s="97">
        <f>'08'!I40</f>
        <v>0</v>
      </c>
      <c r="L3" s="98" t="e">
        <f aca="true" t="shared" si="0" ref="L3:L15">SUM(F3:K3)</f>
        <v>#N/A</v>
      </c>
      <c r="M3" s="95">
        <f>'08'!P27</f>
        <v>0</v>
      </c>
      <c r="N3" s="97">
        <f>'08'!P28</f>
        <v>0</v>
      </c>
      <c r="O3" s="98">
        <f aca="true" t="shared" si="1" ref="O3:O15">SUM(M3:N3)</f>
        <v>0</v>
      </c>
      <c r="P3" s="81" t="e">
        <f aca="true" t="shared" si="2" ref="P3:P15">E3-L3+O3</f>
        <v>#N/A</v>
      </c>
      <c r="Q3" s="156"/>
      <c r="R3" s="81" t="e">
        <f aca="true" t="shared" si="3" ref="R3:R15">P3-Q3</f>
        <v>#N/A</v>
      </c>
    </row>
    <row r="4" spans="1:18" ht="15">
      <c r="A4" s="10"/>
      <c r="B4" s="63">
        <f>'09'!B3</f>
        <v>43709</v>
      </c>
      <c r="C4" s="99" t="e">
        <f>'09'!Q11</f>
        <v>#N/A</v>
      </c>
      <c r="D4" s="100">
        <f>'09'!Q12</f>
        <v>0</v>
      </c>
      <c r="E4" s="101" t="e">
        <f aca="true" t="shared" si="4" ref="E4:E15">C4+D4</f>
        <v>#N/A</v>
      </c>
      <c r="F4" s="92" t="e">
        <f>'09'!P16</f>
        <v>#N/A</v>
      </c>
      <c r="G4" s="102" t="e">
        <f>'09'!P17</f>
        <v>#N/A</v>
      </c>
      <c r="H4" s="102" t="e">
        <f>'09'!P18</f>
        <v>#N/A</v>
      </c>
      <c r="I4" s="102" t="e">
        <f>'09'!P19</f>
        <v>#N/A</v>
      </c>
      <c r="J4" s="102">
        <f>'09'!P20</f>
        <v>0</v>
      </c>
      <c r="K4" s="6">
        <f>'09'!I40</f>
        <v>0</v>
      </c>
      <c r="L4" s="103" t="e">
        <f t="shared" si="0"/>
        <v>#N/A</v>
      </c>
      <c r="M4" s="92">
        <f>'09'!P27</f>
        <v>0</v>
      </c>
      <c r="N4" s="6">
        <f>'09'!P28</f>
        <v>0</v>
      </c>
      <c r="O4" s="103">
        <f t="shared" si="1"/>
        <v>0</v>
      </c>
      <c r="P4" s="101" t="e">
        <f t="shared" si="2"/>
        <v>#N/A</v>
      </c>
      <c r="Q4" s="157"/>
      <c r="R4" s="101" t="e">
        <f t="shared" si="3"/>
        <v>#N/A</v>
      </c>
    </row>
    <row r="5" spans="1:18" ht="15">
      <c r="A5" s="10"/>
      <c r="B5" s="63">
        <f>'10'!B3</f>
        <v>43739</v>
      </c>
      <c r="C5" s="99" t="e">
        <f>'10'!Q11</f>
        <v>#N/A</v>
      </c>
      <c r="D5" s="100">
        <f>'10'!Q12</f>
        <v>0</v>
      </c>
      <c r="E5" s="101" t="e">
        <f t="shared" si="4"/>
        <v>#N/A</v>
      </c>
      <c r="F5" s="92" t="e">
        <f>'10'!P16</f>
        <v>#N/A</v>
      </c>
      <c r="G5" s="102" t="e">
        <f>'10'!P17</f>
        <v>#N/A</v>
      </c>
      <c r="H5" s="102" t="e">
        <f>'10'!P18</f>
        <v>#N/A</v>
      </c>
      <c r="I5" s="102" t="e">
        <f>'10'!P19</f>
        <v>#N/A</v>
      </c>
      <c r="J5" s="102">
        <f>'10'!P20</f>
        <v>0</v>
      </c>
      <c r="K5" s="6">
        <f>'10'!I40</f>
        <v>0</v>
      </c>
      <c r="L5" s="103" t="e">
        <f t="shared" si="0"/>
        <v>#N/A</v>
      </c>
      <c r="M5" s="92">
        <f>'10'!P27</f>
        <v>0</v>
      </c>
      <c r="N5" s="6">
        <f>'10'!P28</f>
        <v>0</v>
      </c>
      <c r="O5" s="103">
        <f t="shared" si="1"/>
        <v>0</v>
      </c>
      <c r="P5" s="101" t="e">
        <f t="shared" si="2"/>
        <v>#N/A</v>
      </c>
      <c r="Q5" s="157"/>
      <c r="R5" s="101" t="e">
        <f t="shared" si="3"/>
        <v>#N/A</v>
      </c>
    </row>
    <row r="6" spans="1:18" ht="15">
      <c r="A6" s="10"/>
      <c r="B6" s="63">
        <f>'11'!B3</f>
        <v>43770</v>
      </c>
      <c r="C6" s="99" t="e">
        <f>'11'!Q11</f>
        <v>#N/A</v>
      </c>
      <c r="D6" s="100">
        <f>'11'!Q12</f>
        <v>0</v>
      </c>
      <c r="E6" s="101" t="e">
        <f t="shared" si="4"/>
        <v>#N/A</v>
      </c>
      <c r="F6" s="92" t="e">
        <f>'11'!P16</f>
        <v>#N/A</v>
      </c>
      <c r="G6" s="102" t="e">
        <f>'11'!P17</f>
        <v>#N/A</v>
      </c>
      <c r="H6" s="102" t="e">
        <f>'11'!P18</f>
        <v>#N/A</v>
      </c>
      <c r="I6" s="102" t="e">
        <f>'11'!P19</f>
        <v>#N/A</v>
      </c>
      <c r="J6" s="102">
        <f>'11'!P20</f>
        <v>0</v>
      </c>
      <c r="K6" s="6">
        <f>'11'!I40</f>
        <v>0</v>
      </c>
      <c r="L6" s="103" t="e">
        <f t="shared" si="0"/>
        <v>#N/A</v>
      </c>
      <c r="M6" s="92">
        <f>'11'!P27</f>
        <v>0</v>
      </c>
      <c r="N6" s="6">
        <f>'11'!P28</f>
        <v>0</v>
      </c>
      <c r="O6" s="103">
        <f t="shared" si="1"/>
        <v>0</v>
      </c>
      <c r="P6" s="101" t="e">
        <f t="shared" si="2"/>
        <v>#N/A</v>
      </c>
      <c r="Q6" s="157"/>
      <c r="R6" s="101" t="e">
        <f t="shared" si="3"/>
        <v>#N/A</v>
      </c>
    </row>
    <row r="7" spans="1:18" ht="15">
      <c r="A7" s="10"/>
      <c r="B7" s="63">
        <f>'12'!B3</f>
        <v>43800</v>
      </c>
      <c r="C7" s="99" t="e">
        <f>'12'!Q11</f>
        <v>#N/A</v>
      </c>
      <c r="D7" s="100">
        <f>'12'!Q12</f>
        <v>0</v>
      </c>
      <c r="E7" s="101" t="e">
        <f t="shared" si="4"/>
        <v>#N/A</v>
      </c>
      <c r="F7" s="92" t="e">
        <f>'12'!P16</f>
        <v>#N/A</v>
      </c>
      <c r="G7" s="102" t="e">
        <f>'12'!P17</f>
        <v>#N/A</v>
      </c>
      <c r="H7" s="102" t="e">
        <f>'12'!P18</f>
        <v>#N/A</v>
      </c>
      <c r="I7" s="102" t="e">
        <f>'12'!P19</f>
        <v>#N/A</v>
      </c>
      <c r="J7" s="102">
        <f>'12'!P20</f>
        <v>0</v>
      </c>
      <c r="K7" s="6">
        <f>'12'!I40</f>
        <v>0</v>
      </c>
      <c r="L7" s="103" t="e">
        <f t="shared" si="0"/>
        <v>#N/A</v>
      </c>
      <c r="M7" s="92">
        <f>'12'!P27</f>
        <v>0</v>
      </c>
      <c r="N7" s="6">
        <f>'12'!P28</f>
        <v>0</v>
      </c>
      <c r="O7" s="103">
        <f t="shared" si="1"/>
        <v>0</v>
      </c>
      <c r="P7" s="101" t="e">
        <f t="shared" si="2"/>
        <v>#N/A</v>
      </c>
      <c r="Q7" s="157"/>
      <c r="R7" s="101" t="e">
        <f t="shared" si="3"/>
        <v>#N/A</v>
      </c>
    </row>
    <row r="8" spans="2:18" ht="15">
      <c r="B8" s="63">
        <f>'01'!B3</f>
        <v>43831</v>
      </c>
      <c r="C8" s="99" t="e">
        <f>'01'!Q11</f>
        <v>#N/A</v>
      </c>
      <c r="D8" s="100">
        <f>'01'!Q12</f>
        <v>0</v>
      </c>
      <c r="E8" s="101" t="e">
        <f t="shared" si="4"/>
        <v>#N/A</v>
      </c>
      <c r="F8" s="92" t="e">
        <f>'01'!P16</f>
        <v>#N/A</v>
      </c>
      <c r="G8" s="102" t="e">
        <f>'01'!P17</f>
        <v>#N/A</v>
      </c>
      <c r="H8" s="102" t="e">
        <f>'01'!P18</f>
        <v>#N/A</v>
      </c>
      <c r="I8" s="102" t="e">
        <f>'01'!P19</f>
        <v>#N/A</v>
      </c>
      <c r="J8" s="102">
        <f>'01'!P20</f>
        <v>0</v>
      </c>
      <c r="K8" s="6">
        <f>'01'!I40</f>
        <v>0</v>
      </c>
      <c r="L8" s="103" t="e">
        <f t="shared" si="0"/>
        <v>#N/A</v>
      </c>
      <c r="M8" s="92">
        <f>'01'!P27</f>
        <v>0</v>
      </c>
      <c r="N8" s="6">
        <f>'01'!P28</f>
        <v>0</v>
      </c>
      <c r="O8" s="103">
        <f t="shared" si="1"/>
        <v>0</v>
      </c>
      <c r="P8" s="101" t="e">
        <f t="shared" si="2"/>
        <v>#N/A</v>
      </c>
      <c r="Q8" s="157"/>
      <c r="R8" s="101" t="e">
        <f t="shared" si="3"/>
        <v>#N/A</v>
      </c>
    </row>
    <row r="9" spans="2:18" ht="15">
      <c r="B9" s="63">
        <f>'02'!B3</f>
        <v>43862</v>
      </c>
      <c r="C9" s="99" t="e">
        <f>'02'!Q11</f>
        <v>#N/A</v>
      </c>
      <c r="D9" s="100">
        <f>'02'!Q12</f>
        <v>0</v>
      </c>
      <c r="E9" s="101" t="e">
        <f t="shared" si="4"/>
        <v>#N/A</v>
      </c>
      <c r="F9" s="92" t="e">
        <f>'02'!P16</f>
        <v>#N/A</v>
      </c>
      <c r="G9" s="102" t="e">
        <f>'02'!P17</f>
        <v>#N/A</v>
      </c>
      <c r="H9" s="102" t="e">
        <f>'02'!P18</f>
        <v>#N/A</v>
      </c>
      <c r="I9" s="102" t="e">
        <f>'02'!P19</f>
        <v>#N/A</v>
      </c>
      <c r="J9" s="102">
        <f>'02'!P20</f>
        <v>0</v>
      </c>
      <c r="K9" s="6">
        <f>'02'!I40</f>
        <v>0</v>
      </c>
      <c r="L9" s="103" t="e">
        <f t="shared" si="0"/>
        <v>#N/A</v>
      </c>
      <c r="M9" s="92">
        <f>'02'!P27</f>
        <v>0</v>
      </c>
      <c r="N9" s="6">
        <f>'02'!P28</f>
        <v>0</v>
      </c>
      <c r="O9" s="103">
        <f t="shared" si="1"/>
        <v>0</v>
      </c>
      <c r="P9" s="101" t="e">
        <f t="shared" si="2"/>
        <v>#N/A</v>
      </c>
      <c r="Q9" s="157"/>
      <c r="R9" s="101" t="e">
        <f t="shared" si="3"/>
        <v>#N/A</v>
      </c>
    </row>
    <row r="10" spans="2:18" ht="15">
      <c r="B10" s="63">
        <f>'03'!B3</f>
        <v>43891</v>
      </c>
      <c r="C10" s="99" t="e">
        <f>'03'!Q11</f>
        <v>#N/A</v>
      </c>
      <c r="D10" s="100">
        <f>'03'!Q12</f>
        <v>0</v>
      </c>
      <c r="E10" s="101" t="e">
        <f t="shared" si="4"/>
        <v>#N/A</v>
      </c>
      <c r="F10" s="92" t="e">
        <f>'03'!P16</f>
        <v>#N/A</v>
      </c>
      <c r="G10" s="102" t="e">
        <f>'03'!P17</f>
        <v>#N/A</v>
      </c>
      <c r="H10" s="102" t="e">
        <f>'03'!P18</f>
        <v>#N/A</v>
      </c>
      <c r="I10" s="102" t="e">
        <f>'03'!P19</f>
        <v>#N/A</v>
      </c>
      <c r="J10" s="102">
        <f>'03'!P20</f>
        <v>0</v>
      </c>
      <c r="K10" s="6">
        <f>'03'!I40</f>
        <v>0</v>
      </c>
      <c r="L10" s="103" t="e">
        <f t="shared" si="0"/>
        <v>#N/A</v>
      </c>
      <c r="M10" s="92">
        <f>'03'!P27</f>
        <v>0</v>
      </c>
      <c r="N10" s="6">
        <f>'03'!P28</f>
        <v>0</v>
      </c>
      <c r="O10" s="103">
        <f t="shared" si="1"/>
        <v>0</v>
      </c>
      <c r="P10" s="101" t="e">
        <f t="shared" si="2"/>
        <v>#N/A</v>
      </c>
      <c r="Q10" s="157"/>
      <c r="R10" s="101" t="e">
        <f t="shared" si="3"/>
        <v>#N/A</v>
      </c>
    </row>
    <row r="11" spans="2:18" ht="15">
      <c r="B11" s="63">
        <f>'04'!B3</f>
        <v>43922</v>
      </c>
      <c r="C11" s="99" t="e">
        <f>'04'!Q11</f>
        <v>#N/A</v>
      </c>
      <c r="D11" s="100">
        <f>'04'!Q12</f>
        <v>0</v>
      </c>
      <c r="E11" s="101" t="e">
        <f t="shared" si="4"/>
        <v>#N/A</v>
      </c>
      <c r="F11" s="92" t="e">
        <f>'04'!P16</f>
        <v>#N/A</v>
      </c>
      <c r="G11" s="102" t="e">
        <f>'04'!P17</f>
        <v>#N/A</v>
      </c>
      <c r="H11" s="102" t="e">
        <f>'04'!P18</f>
        <v>#N/A</v>
      </c>
      <c r="I11" s="102" t="e">
        <f>'04'!P19</f>
        <v>#N/A</v>
      </c>
      <c r="J11" s="102">
        <f>'04'!P20</f>
        <v>0</v>
      </c>
      <c r="K11" s="6">
        <f>'04'!I40</f>
        <v>0</v>
      </c>
      <c r="L11" s="103" t="e">
        <f t="shared" si="0"/>
        <v>#N/A</v>
      </c>
      <c r="M11" s="92">
        <f>'04'!P27</f>
        <v>0</v>
      </c>
      <c r="N11" s="6">
        <f>'04'!P28</f>
        <v>0</v>
      </c>
      <c r="O11" s="103">
        <f t="shared" si="1"/>
        <v>0</v>
      </c>
      <c r="P11" s="101" t="e">
        <f t="shared" si="2"/>
        <v>#N/A</v>
      </c>
      <c r="Q11" s="157"/>
      <c r="R11" s="101" t="e">
        <f t="shared" si="3"/>
        <v>#N/A</v>
      </c>
    </row>
    <row r="12" spans="2:18" ht="15">
      <c r="B12" s="63">
        <f>'05'!B3</f>
        <v>43952</v>
      </c>
      <c r="C12" s="99" t="e">
        <f>'05'!Q11</f>
        <v>#N/A</v>
      </c>
      <c r="D12" s="100">
        <f>'05'!Q12</f>
        <v>0</v>
      </c>
      <c r="E12" s="101" t="e">
        <f t="shared" si="4"/>
        <v>#N/A</v>
      </c>
      <c r="F12" s="92" t="e">
        <f>'05'!P16</f>
        <v>#N/A</v>
      </c>
      <c r="G12" s="102" t="e">
        <f>'05'!P17</f>
        <v>#N/A</v>
      </c>
      <c r="H12" s="102" t="e">
        <f>'05'!P18</f>
        <v>#N/A</v>
      </c>
      <c r="I12" s="102" t="e">
        <f>'05'!P19</f>
        <v>#N/A</v>
      </c>
      <c r="J12" s="102">
        <f>'05'!P20</f>
        <v>0</v>
      </c>
      <c r="K12" s="6">
        <f>'05'!I40</f>
        <v>0</v>
      </c>
      <c r="L12" s="103" t="e">
        <f t="shared" si="0"/>
        <v>#N/A</v>
      </c>
      <c r="M12" s="92">
        <f>'05'!P27</f>
        <v>0</v>
      </c>
      <c r="N12" s="6">
        <f>'05'!P28</f>
        <v>0</v>
      </c>
      <c r="O12" s="103">
        <f t="shared" si="1"/>
        <v>0</v>
      </c>
      <c r="P12" s="101" t="e">
        <f t="shared" si="2"/>
        <v>#N/A</v>
      </c>
      <c r="Q12" s="157"/>
      <c r="R12" s="101" t="e">
        <f t="shared" si="3"/>
        <v>#N/A</v>
      </c>
    </row>
    <row r="13" spans="2:18" ht="15">
      <c r="B13" s="63">
        <f>'06'!B3</f>
        <v>43983</v>
      </c>
      <c r="C13" s="99" t="e">
        <f>'06'!Q11</f>
        <v>#N/A</v>
      </c>
      <c r="D13" s="100">
        <f>'06'!Q12</f>
        <v>0</v>
      </c>
      <c r="E13" s="101" t="e">
        <f t="shared" si="4"/>
        <v>#N/A</v>
      </c>
      <c r="F13" s="92" t="e">
        <f>'06'!P16</f>
        <v>#N/A</v>
      </c>
      <c r="G13" s="102" t="e">
        <f>'06'!P17</f>
        <v>#N/A</v>
      </c>
      <c r="H13" s="102" t="e">
        <f>'06'!P18</f>
        <v>#N/A</v>
      </c>
      <c r="I13" s="102" t="e">
        <f>'06'!P19</f>
        <v>#N/A</v>
      </c>
      <c r="J13" s="102">
        <f>'06'!P20</f>
        <v>0</v>
      </c>
      <c r="K13" s="6">
        <f>'06'!I40</f>
        <v>0</v>
      </c>
      <c r="L13" s="103" t="e">
        <f t="shared" si="0"/>
        <v>#N/A</v>
      </c>
      <c r="M13" s="92">
        <f>'06'!P27</f>
        <v>0</v>
      </c>
      <c r="N13" s="6">
        <f>'06'!P28</f>
        <v>0</v>
      </c>
      <c r="O13" s="103">
        <f t="shared" si="1"/>
        <v>0</v>
      </c>
      <c r="P13" s="101" t="e">
        <f t="shared" si="2"/>
        <v>#N/A</v>
      </c>
      <c r="Q13" s="157"/>
      <c r="R13" s="101" t="e">
        <f t="shared" si="3"/>
        <v>#N/A</v>
      </c>
    </row>
    <row r="14" spans="2:18" ht="15">
      <c r="B14" s="63">
        <f>'07'!B3</f>
        <v>44013</v>
      </c>
      <c r="C14" s="99" t="e">
        <f>'07'!Q11</f>
        <v>#N/A</v>
      </c>
      <c r="D14" s="100">
        <f>'07'!Q12</f>
        <v>0</v>
      </c>
      <c r="E14" s="101" t="e">
        <f t="shared" si="4"/>
        <v>#N/A</v>
      </c>
      <c r="F14" s="92" t="e">
        <f>'07'!P16</f>
        <v>#N/A</v>
      </c>
      <c r="G14" s="102" t="e">
        <f>'07'!P17</f>
        <v>#N/A</v>
      </c>
      <c r="H14" s="102" t="e">
        <f>'07'!P18</f>
        <v>#N/A</v>
      </c>
      <c r="I14" s="102" t="e">
        <f>'07'!P19</f>
        <v>#N/A</v>
      </c>
      <c r="J14" s="102">
        <f>'07'!P20</f>
        <v>0</v>
      </c>
      <c r="K14" s="6">
        <f>'07'!I40</f>
        <v>0</v>
      </c>
      <c r="L14" s="103" t="e">
        <f t="shared" si="0"/>
        <v>#N/A</v>
      </c>
      <c r="M14" s="92">
        <f>'07'!P27</f>
        <v>0</v>
      </c>
      <c r="N14" s="6">
        <f>'07'!P28</f>
        <v>0</v>
      </c>
      <c r="O14" s="103">
        <f t="shared" si="1"/>
        <v>0</v>
      </c>
      <c r="P14" s="101" t="e">
        <f t="shared" si="2"/>
        <v>#N/A</v>
      </c>
      <c r="Q14" s="157"/>
      <c r="R14" s="101" t="e">
        <f t="shared" si="3"/>
        <v>#N/A</v>
      </c>
    </row>
    <row r="15" spans="2:18" ht="15.75" thickBot="1">
      <c r="B15" s="64">
        <f>'08+'!B3</f>
        <v>44044</v>
      </c>
      <c r="C15" s="104" t="e">
        <f>'08+'!Q11</f>
        <v>#N/A</v>
      </c>
      <c r="D15" s="105">
        <f>'08+'!Q12</f>
        <v>0</v>
      </c>
      <c r="E15" s="82" t="e">
        <f t="shared" si="4"/>
        <v>#N/A</v>
      </c>
      <c r="F15" s="106" t="e">
        <f>'08+'!P16</f>
        <v>#N/A</v>
      </c>
      <c r="G15" s="107" t="e">
        <f>'08+'!P17</f>
        <v>#N/A</v>
      </c>
      <c r="H15" s="107" t="e">
        <f>'08+'!P18</f>
        <v>#N/A</v>
      </c>
      <c r="I15" s="107" t="e">
        <f>'08+'!P19</f>
        <v>#N/A</v>
      </c>
      <c r="J15" s="107">
        <f>'08+'!P20</f>
        <v>0</v>
      </c>
      <c r="K15" s="108">
        <f>'08+'!I40</f>
        <v>0</v>
      </c>
      <c r="L15" s="109" t="e">
        <f t="shared" si="0"/>
        <v>#N/A</v>
      </c>
      <c r="M15" s="106">
        <f>'08+'!P27</f>
        <v>0</v>
      </c>
      <c r="N15" s="108">
        <f>'08+'!P28</f>
        <v>0</v>
      </c>
      <c r="O15" s="109">
        <f t="shared" si="1"/>
        <v>0</v>
      </c>
      <c r="P15" s="82" t="e">
        <f t="shared" si="2"/>
        <v>#N/A</v>
      </c>
      <c r="Q15" s="158"/>
      <c r="R15" s="82" t="e">
        <f t="shared" si="3"/>
        <v>#N/A</v>
      </c>
    </row>
    <row r="16" spans="1:18" s="61" customFormat="1" ht="15">
      <c r="A16" s="163">
        <v>330</v>
      </c>
      <c r="B16" s="313" t="str">
        <f>VLOOKUP(A16,Tb_Traduction,DB_Langue,FALSE)</f>
        <v>Total</v>
      </c>
      <c r="C16" s="110" t="e">
        <f>SUM(C3:C15)</f>
        <v>#N/A</v>
      </c>
      <c r="D16" s="111">
        <f>SUM(D3:D15)</f>
        <v>0</v>
      </c>
      <c r="E16" s="81" t="e">
        <f>SUM(E3:E15)</f>
        <v>#N/A</v>
      </c>
      <c r="F16" s="93" t="e">
        <f aca="true" t="shared" si="5" ref="F16:L16">SUM(F3:F15)</f>
        <v>#N/A</v>
      </c>
      <c r="G16" s="112" t="e">
        <f t="shared" si="5"/>
        <v>#N/A</v>
      </c>
      <c r="H16" s="112" t="e">
        <f t="shared" si="5"/>
        <v>#N/A</v>
      </c>
      <c r="I16" s="112" t="e">
        <f t="shared" si="5"/>
        <v>#N/A</v>
      </c>
      <c r="J16" s="112">
        <f t="shared" si="5"/>
        <v>0</v>
      </c>
      <c r="K16" s="113">
        <f t="shared" si="5"/>
        <v>0</v>
      </c>
      <c r="L16" s="98" t="e">
        <f t="shared" si="5"/>
        <v>#N/A</v>
      </c>
      <c r="M16" s="93">
        <f aca="true" t="shared" si="6" ref="M16:R16">SUM(M3:M15)</f>
        <v>0</v>
      </c>
      <c r="N16" s="113">
        <f t="shared" si="6"/>
        <v>0</v>
      </c>
      <c r="O16" s="98">
        <f t="shared" si="6"/>
        <v>0</v>
      </c>
      <c r="P16" s="81" t="e">
        <f t="shared" si="6"/>
        <v>#N/A</v>
      </c>
      <c r="Q16" s="98">
        <f t="shared" si="6"/>
        <v>0</v>
      </c>
      <c r="R16" s="81" t="e">
        <f t="shared" si="6"/>
        <v>#N/A</v>
      </c>
    </row>
    <row r="17" spans="1:18" s="66" customFormat="1" ht="15">
      <c r="A17" s="163">
        <v>331</v>
      </c>
      <c r="B17" s="314" t="str">
        <f>VLOOKUP(A17,Tb_Traduction,DB_Langue,FALSE)</f>
        <v>Vorgesehene Werte</v>
      </c>
      <c r="C17" s="114">
        <f>Sa_BaseAnnuel</f>
        <v>0</v>
      </c>
      <c r="D17" s="115"/>
      <c r="E17" s="116">
        <f>C17+D16</f>
        <v>0</v>
      </c>
      <c r="F17" s="117"/>
      <c r="G17" s="118"/>
      <c r="H17" s="118"/>
      <c r="I17" s="118"/>
      <c r="J17" s="118"/>
      <c r="K17" s="119" t="e">
        <f>Sa_NatureAnnuel</f>
        <v>#N/A</v>
      </c>
      <c r="L17" s="120"/>
      <c r="M17" s="117"/>
      <c r="N17" s="121"/>
      <c r="O17" s="120"/>
      <c r="P17" s="122"/>
      <c r="Q17" s="120"/>
      <c r="R17" s="122"/>
    </row>
    <row r="18" spans="1:18" s="61" customFormat="1" ht="15.75" thickBot="1">
      <c r="A18" s="163">
        <v>332</v>
      </c>
      <c r="B18" s="315" t="str">
        <f>VLOOKUP(A18,Tb_Traduction,DB_Langue,FALSE)</f>
        <v>Differenz</v>
      </c>
      <c r="C18" s="104" t="e">
        <f>C17-C16</f>
        <v>#N/A</v>
      </c>
      <c r="D18" s="123"/>
      <c r="E18" s="104" t="e">
        <f>E17-E16</f>
        <v>#N/A</v>
      </c>
      <c r="F18" s="124"/>
      <c r="G18" s="125"/>
      <c r="H18" s="125"/>
      <c r="I18" s="125"/>
      <c r="J18" s="125"/>
      <c r="K18" s="126" t="e">
        <f>K17-K16</f>
        <v>#N/A</v>
      </c>
      <c r="L18" s="127"/>
      <c r="M18" s="124"/>
      <c r="N18" s="128"/>
      <c r="O18" s="127"/>
      <c r="P18" s="129"/>
      <c r="Q18" s="127"/>
      <c r="R18" s="129"/>
    </row>
    <row r="19" spans="1:18" s="169" customFormat="1" ht="15">
      <c r="A19" s="166"/>
      <c r="B19" s="167"/>
      <c r="C19" s="168"/>
      <c r="D19" s="168"/>
      <c r="E19" s="168"/>
      <c r="F19" s="168"/>
      <c r="G19" s="168"/>
      <c r="H19" s="168"/>
      <c r="I19" s="168"/>
      <c r="J19" s="168"/>
      <c r="K19" s="168"/>
      <c r="L19" s="168"/>
      <c r="M19" s="168"/>
      <c r="N19" s="168"/>
      <c r="O19" s="168"/>
      <c r="P19" s="168"/>
      <c r="Q19" s="168"/>
      <c r="R19" s="168"/>
    </row>
    <row r="20" ht="15.75" thickBot="1"/>
    <row r="21" spans="1:19" ht="15.75" thickBot="1">
      <c r="A21" s="163">
        <v>340</v>
      </c>
      <c r="C21" s="562" t="str">
        <f>VLOOKUP(A21,Tb_Traduction,DB_Langue,FALSE)</f>
        <v>Tagesabrechnung</v>
      </c>
      <c r="D21" s="534"/>
      <c r="E21" s="534"/>
      <c r="F21" s="534"/>
      <c r="G21" s="534"/>
      <c r="H21" s="534"/>
      <c r="I21" s="534"/>
      <c r="J21" s="535"/>
      <c r="M21" s="61"/>
      <c r="N21" s="36" t="str">
        <f>VLOOKUP(A21+1,Tb_Traduction,DB_Langue,FALSE)</f>
        <v>Berufsbildner /in</v>
      </c>
      <c r="O21" s="416">
        <f>TRIM(DB_Maitre)</f>
      </c>
      <c r="P21" s="416"/>
      <c r="Q21" s="416"/>
      <c r="R21" s="416"/>
      <c r="S21" s="72"/>
    </row>
    <row r="22" spans="1:19" ht="15">
      <c r="A22" s="163">
        <v>342</v>
      </c>
      <c r="B22" s="551" t="str">
        <f>VLOOKUP(A26,Tb_Traduction,DB_Langue,FALSE)</f>
        <v>Monat</v>
      </c>
      <c r="C22" s="554" t="str">
        <f>VLOOKUP(A26+1,Tb_Traduction,DB_Langue,FALSE)</f>
        <v>Arbeit</v>
      </c>
      <c r="D22" s="529" t="str">
        <f>VLOOKUP(A26+2,Tb_Traduction,DB_Langue,FALSE)</f>
        <v>Schultage</v>
      </c>
      <c r="E22" s="529" t="str">
        <f>VLOOKUP(A26+3,Tb_Traduction,DB_Langue,FALSE)</f>
        <v>üK</v>
      </c>
      <c r="F22" s="529" t="str">
        <f>VLOOKUP(A26+9,Tb_Traduction,DB_Langue,FALSE)</f>
        <v>Militär</v>
      </c>
      <c r="G22" s="565" t="str">
        <f>VLOOKUP(A26+4,Tb_Traduction,DB_Langue,FALSE)</f>
        <v>Frei</v>
      </c>
      <c r="H22" s="529" t="str">
        <f>VLOOKUP(A26+5,Tb_Traduction,DB_Langue,FALSE)</f>
        <v>Ferien</v>
      </c>
      <c r="I22" s="529" t="str">
        <f>VLOOKUP(A26+6,Tb_Traduction,DB_Langue,FALSE)</f>
        <v>Unfall</v>
      </c>
      <c r="J22" s="529" t="str">
        <f>VLOOKUP(A26+7,Tb_Traduction,DB_Langue,FALSE)</f>
        <v>Krankheit</v>
      </c>
      <c r="K22" s="558" t="str">
        <f>VLOOKUP(A26+8,Tb_Traduction,DB_Langue,FALSE)</f>
        <v>Total</v>
      </c>
      <c r="M22" s="61"/>
      <c r="N22" s="36" t="str">
        <f>VLOOKUP(A22,Tb_Traduction,DB_Langue,FALSE)</f>
        <v>Ort</v>
      </c>
      <c r="O22" s="417">
        <f>TRIM(DB_MaitreLieu)</f>
      </c>
      <c r="P22" s="417"/>
      <c r="Q22" s="417"/>
      <c r="R22" s="417"/>
      <c r="S22" s="72"/>
    </row>
    <row r="23" spans="1:19" ht="15">
      <c r="A23" s="163">
        <v>343</v>
      </c>
      <c r="B23" s="552"/>
      <c r="C23" s="555"/>
      <c r="D23" s="530"/>
      <c r="E23" s="530"/>
      <c r="F23" s="530"/>
      <c r="G23" s="566"/>
      <c r="H23" s="530"/>
      <c r="I23" s="530"/>
      <c r="J23" s="530"/>
      <c r="K23" s="559"/>
      <c r="M23" s="61"/>
      <c r="N23" s="36" t="str">
        <f>VLOOKUP(A23,Tb_Traduction,DB_Langue,FALSE)</f>
        <v>Lernende /r</v>
      </c>
      <c r="O23" s="417">
        <f>TRIM(DB_Apprenti)</f>
      </c>
      <c r="P23" s="417"/>
      <c r="Q23" s="417"/>
      <c r="R23" s="417"/>
      <c r="S23" s="72"/>
    </row>
    <row r="24" spans="1:19" ht="15">
      <c r="A24" s="163">
        <v>344</v>
      </c>
      <c r="B24" s="552"/>
      <c r="C24" s="555"/>
      <c r="D24" s="530"/>
      <c r="E24" s="530"/>
      <c r="F24" s="530"/>
      <c r="G24" s="566"/>
      <c r="H24" s="530"/>
      <c r="I24" s="530"/>
      <c r="J24" s="530"/>
      <c r="K24" s="559"/>
      <c r="L24" s="60"/>
      <c r="M24" s="61"/>
      <c r="N24" s="36" t="str">
        <f>VLOOKUP(A24,Tb_Traduction,DB_Langue,FALSE)</f>
        <v>AHV-Nummer</v>
      </c>
      <c r="O24" s="417">
        <f>TRIM(DB_AVS)</f>
      </c>
      <c r="P24" s="417"/>
      <c r="S24" s="72"/>
    </row>
    <row r="25" spans="1:19" ht="15">
      <c r="A25" s="163">
        <v>345</v>
      </c>
      <c r="B25" s="552"/>
      <c r="C25" s="556"/>
      <c r="D25" s="531"/>
      <c r="E25" s="531"/>
      <c r="F25" s="531"/>
      <c r="G25" s="567"/>
      <c r="H25" s="531"/>
      <c r="I25" s="531"/>
      <c r="J25" s="531"/>
      <c r="K25" s="560"/>
      <c r="L25" s="60"/>
      <c r="M25" s="33"/>
      <c r="N25" s="36" t="str">
        <f>VLOOKUP(A25,Tb_Traduction,DB_Langue,FALSE)</f>
        <v>Geburtsdatum</v>
      </c>
      <c r="O25" s="564">
        <f>IF(DB_DateNaissance=0,"",DB_DateNaissance)</f>
      </c>
      <c r="P25" s="564"/>
      <c r="Q25" s="72"/>
      <c r="R25" s="60"/>
      <c r="S25" s="72"/>
    </row>
    <row r="26" spans="1:19" ht="15.75" thickBot="1">
      <c r="A26" s="163">
        <v>350</v>
      </c>
      <c r="B26" s="553"/>
      <c r="C26" s="557"/>
      <c r="D26" s="532"/>
      <c r="E26" s="532"/>
      <c r="F26" s="532"/>
      <c r="G26" s="568"/>
      <c r="H26" s="532"/>
      <c r="I26" s="532"/>
      <c r="J26" s="532"/>
      <c r="K26" s="561"/>
      <c r="L26" s="60"/>
      <c r="M26" s="60"/>
      <c r="N26" s="60"/>
      <c r="O26" s="60"/>
      <c r="P26" s="60"/>
      <c r="Q26" s="60"/>
      <c r="R26" s="60"/>
      <c r="S26" s="72"/>
    </row>
    <row r="27" spans="2:19" ht="15.75" thickBot="1">
      <c r="B27" s="62">
        <f>'08'!B3</f>
        <v>43678</v>
      </c>
      <c r="C27" s="140">
        <f>'08'!M35</f>
        <v>0</v>
      </c>
      <c r="D27" s="141">
        <f>'08'!M36</f>
        <v>0</v>
      </c>
      <c r="E27" s="141">
        <f>'08'!M37</f>
        <v>0</v>
      </c>
      <c r="F27" s="142">
        <f>'08'!M38</f>
        <v>0</v>
      </c>
      <c r="G27" s="142">
        <f>'08'!M39</f>
        <v>0</v>
      </c>
      <c r="H27" s="141">
        <f>'08'!M40</f>
        <v>0</v>
      </c>
      <c r="I27" s="141">
        <f>'08'!M41</f>
        <v>0</v>
      </c>
      <c r="J27" s="141">
        <f>'08'!M42</f>
        <v>0</v>
      </c>
      <c r="K27" s="148">
        <f aca="true" t="shared" si="7" ref="K27:K39">SUM(C27:J27)</f>
        <v>0</v>
      </c>
      <c r="L27" s="60"/>
      <c r="M27" s="60"/>
      <c r="N27" s="60"/>
      <c r="O27" s="60"/>
      <c r="P27" s="60"/>
      <c r="Q27" s="72"/>
      <c r="R27" s="73"/>
      <c r="S27" s="72"/>
    </row>
    <row r="28" spans="1:19" ht="15.75" thickBot="1">
      <c r="A28" s="163">
        <v>360</v>
      </c>
      <c r="B28" s="63">
        <f>'09'!B3</f>
        <v>43709</v>
      </c>
      <c r="C28" s="130">
        <f>'09'!M35</f>
        <v>0</v>
      </c>
      <c r="D28" s="131">
        <f>'09'!M36</f>
        <v>0</v>
      </c>
      <c r="E28" s="131">
        <f>'09'!M37</f>
        <v>0</v>
      </c>
      <c r="F28" s="143">
        <f>'09'!M38</f>
        <v>0</v>
      </c>
      <c r="G28" s="143">
        <f>'09'!M39</f>
        <v>0</v>
      </c>
      <c r="H28" s="131">
        <f>'09'!M40</f>
        <v>0</v>
      </c>
      <c r="I28" s="131">
        <f>'09'!M41</f>
        <v>0</v>
      </c>
      <c r="J28" s="131">
        <f>'09'!M42</f>
        <v>0</v>
      </c>
      <c r="K28" s="148">
        <f t="shared" si="7"/>
        <v>0</v>
      </c>
      <c r="L28" s="60"/>
      <c r="M28" s="60"/>
      <c r="N28" s="60"/>
      <c r="O28" s="533" t="str">
        <f aca="true" t="shared" si="8" ref="O28:O34">VLOOKUP(A28,Tb_Traduction,DB_Langue,FALSE)</f>
        <v>Lohn Aug-Dec</v>
      </c>
      <c r="P28" s="534"/>
      <c r="Q28" s="535"/>
      <c r="R28" s="85">
        <f>DB_Annee</f>
        <v>2019</v>
      </c>
      <c r="S28" s="72"/>
    </row>
    <row r="29" spans="1:18" ht="15">
      <c r="A29" s="163">
        <v>361</v>
      </c>
      <c r="B29" s="63">
        <f>'10'!B3</f>
        <v>43739</v>
      </c>
      <c r="C29" s="130">
        <f>'10'!M35</f>
        <v>0</v>
      </c>
      <c r="D29" s="131">
        <f>'10'!M36</f>
        <v>0</v>
      </c>
      <c r="E29" s="131">
        <f>'10'!M37</f>
        <v>0</v>
      </c>
      <c r="F29" s="143">
        <f>'10'!M38</f>
        <v>0</v>
      </c>
      <c r="G29" s="143">
        <f>'10'!M39</f>
        <v>0</v>
      </c>
      <c r="H29" s="131">
        <f>'10'!M40</f>
        <v>0</v>
      </c>
      <c r="I29" s="131">
        <f>'10'!M41</f>
        <v>0</v>
      </c>
      <c r="J29" s="131">
        <f>'10'!M42</f>
        <v>0</v>
      </c>
      <c r="K29" s="148">
        <f t="shared" si="7"/>
        <v>0</v>
      </c>
      <c r="L29" s="60"/>
      <c r="M29" s="60"/>
      <c r="N29" s="60"/>
      <c r="O29" s="536" t="str">
        <f t="shared" si="8"/>
        <v>Bruttolohn</v>
      </c>
      <c r="P29" s="537"/>
      <c r="Q29" s="538"/>
      <c r="R29" s="84" t="e">
        <f>SUM(E3:E7)</f>
        <v>#N/A</v>
      </c>
    </row>
    <row r="30" spans="1:18" ht="15">
      <c r="A30" s="163">
        <v>362</v>
      </c>
      <c r="B30" s="63">
        <f>'11'!B3</f>
        <v>43770</v>
      </c>
      <c r="C30" s="130">
        <f>'11'!M35</f>
        <v>0</v>
      </c>
      <c r="D30" s="131">
        <f>'11'!M36</f>
        <v>0</v>
      </c>
      <c r="E30" s="131">
        <f>'11'!M37</f>
        <v>0</v>
      </c>
      <c r="F30" s="143">
        <f>'11'!M38</f>
        <v>0</v>
      </c>
      <c r="G30" s="143">
        <f>'11'!M39</f>
        <v>0</v>
      </c>
      <c r="H30" s="131">
        <f>'11'!M40</f>
        <v>0</v>
      </c>
      <c r="I30" s="131">
        <f>'11'!M41</f>
        <v>0</v>
      </c>
      <c r="J30" s="131">
        <f>'11'!M42</f>
        <v>0</v>
      </c>
      <c r="K30" s="148">
        <f t="shared" si="7"/>
        <v>0</v>
      </c>
      <c r="O30" s="539" t="str">
        <f t="shared" si="8"/>
        <v>Abzüge AHV, IV, EO</v>
      </c>
      <c r="P30" s="540"/>
      <c r="Q30" s="541"/>
      <c r="R30" s="80" t="e">
        <f>SUM(F3:F7)</f>
        <v>#N/A</v>
      </c>
    </row>
    <row r="31" spans="1:18" ht="15">
      <c r="A31" s="163">
        <v>363</v>
      </c>
      <c r="B31" s="63">
        <f>'12'!B3</f>
        <v>43800</v>
      </c>
      <c r="C31" s="130">
        <f>'12'!M35</f>
        <v>0</v>
      </c>
      <c r="D31" s="131">
        <f>'12'!M36</f>
        <v>0</v>
      </c>
      <c r="E31" s="131">
        <f>'12'!M37</f>
        <v>0</v>
      </c>
      <c r="F31" s="143">
        <f>'12'!M38</f>
        <v>0</v>
      </c>
      <c r="G31" s="143">
        <f>'12'!M39</f>
        <v>0</v>
      </c>
      <c r="H31" s="131">
        <f>'12'!M40</f>
        <v>0</v>
      </c>
      <c r="I31" s="131">
        <f>'12'!M41</f>
        <v>0</v>
      </c>
      <c r="J31" s="131">
        <f>'12'!M42</f>
        <v>0</v>
      </c>
      <c r="K31" s="148">
        <f t="shared" si="7"/>
        <v>0</v>
      </c>
      <c r="O31" s="539" t="str">
        <f t="shared" si="8"/>
        <v>Abzüge ALV</v>
      </c>
      <c r="P31" s="540"/>
      <c r="Q31" s="541"/>
      <c r="R31" s="80" t="e">
        <f>SUM(G3:G7)</f>
        <v>#N/A</v>
      </c>
    </row>
    <row r="32" spans="1:18" ht="15">
      <c r="A32" s="163">
        <v>364</v>
      </c>
      <c r="B32" s="63">
        <f>'01'!B3</f>
        <v>43831</v>
      </c>
      <c r="C32" s="130">
        <f>'01'!M35</f>
        <v>0</v>
      </c>
      <c r="D32" s="131">
        <f>'01'!M36</f>
        <v>0</v>
      </c>
      <c r="E32" s="131">
        <f>'01'!M37</f>
        <v>0</v>
      </c>
      <c r="F32" s="143">
        <f>'01'!M38</f>
        <v>0</v>
      </c>
      <c r="G32" s="143">
        <f>'01'!M39</f>
        <v>0</v>
      </c>
      <c r="H32" s="131">
        <f>'01'!M40</f>
        <v>0</v>
      </c>
      <c r="I32" s="131">
        <f>'01'!M41</f>
        <v>0</v>
      </c>
      <c r="J32" s="131">
        <f>'01'!M42</f>
        <v>0</v>
      </c>
      <c r="K32" s="148">
        <f t="shared" si="7"/>
        <v>0</v>
      </c>
      <c r="L32" s="60"/>
      <c r="M32" s="60"/>
      <c r="N32" s="60"/>
      <c r="O32" s="539" t="str">
        <f t="shared" si="8"/>
        <v>Nichtbetriebsunfall</v>
      </c>
      <c r="P32" s="540"/>
      <c r="Q32" s="541"/>
      <c r="R32" s="80" t="e">
        <f>SUM(H3:H7)</f>
        <v>#N/A</v>
      </c>
    </row>
    <row r="33" spans="1:26" ht="15">
      <c r="A33" s="163">
        <v>317</v>
      </c>
      <c r="B33" s="63">
        <f>'02'!B3</f>
        <v>43862</v>
      </c>
      <c r="C33" s="130">
        <f>'02'!M35</f>
        <v>0</v>
      </c>
      <c r="D33" s="131">
        <f>'02'!M36</f>
        <v>0</v>
      </c>
      <c r="E33" s="131">
        <f>'02'!M37</f>
        <v>0</v>
      </c>
      <c r="F33" s="143">
        <f>'02'!M38</f>
        <v>0</v>
      </c>
      <c r="G33" s="143">
        <f>'02'!M39</f>
        <v>0</v>
      </c>
      <c r="H33" s="131">
        <f>'02'!M40</f>
        <v>0</v>
      </c>
      <c r="I33" s="131">
        <f>'02'!M41</f>
        <v>0</v>
      </c>
      <c r="J33" s="131">
        <f>'02'!M42</f>
        <v>0</v>
      </c>
      <c r="K33" s="148">
        <f t="shared" si="7"/>
        <v>0</v>
      </c>
      <c r="L33" s="60"/>
      <c r="M33" s="60"/>
      <c r="N33" s="60"/>
      <c r="O33" s="539" t="str">
        <f t="shared" si="8"/>
        <v>Krankentaggeld</v>
      </c>
      <c r="P33" s="540"/>
      <c r="Q33" s="541"/>
      <c r="R33" s="80" t="e">
        <f>SUM(I3:I7)</f>
        <v>#N/A</v>
      </c>
      <c r="U33" s="73"/>
      <c r="V33" s="72"/>
      <c r="W33" s="72"/>
      <c r="X33" s="73"/>
      <c r="Y33" s="73"/>
      <c r="Z33" s="73"/>
    </row>
    <row r="34" spans="1:26" ht="15.75" thickBot="1">
      <c r="A34" s="163">
        <v>365</v>
      </c>
      <c r="B34" s="63">
        <f>'03'!B3</f>
        <v>43891</v>
      </c>
      <c r="C34" s="130">
        <f>'03'!M35</f>
        <v>0</v>
      </c>
      <c r="D34" s="131">
        <f>'03'!M36</f>
        <v>0</v>
      </c>
      <c r="E34" s="131">
        <f>'03'!M37</f>
        <v>0</v>
      </c>
      <c r="F34" s="143">
        <f>'03'!M38</f>
        <v>0</v>
      </c>
      <c r="G34" s="143">
        <f>'03'!M39</f>
        <v>0</v>
      </c>
      <c r="H34" s="131">
        <f>'03'!M40</f>
        <v>0</v>
      </c>
      <c r="I34" s="131">
        <f>'03'!M41</f>
        <v>0</v>
      </c>
      <c r="J34" s="131">
        <f>'03'!M42</f>
        <v>0</v>
      </c>
      <c r="K34" s="148">
        <f t="shared" si="7"/>
        <v>0</v>
      </c>
      <c r="L34" s="60"/>
      <c r="M34" s="60"/>
      <c r="N34" s="60"/>
      <c r="O34" s="526" t="str">
        <f t="shared" si="8"/>
        <v>Nettolohn</v>
      </c>
      <c r="P34" s="527"/>
      <c r="Q34" s="528"/>
      <c r="R34" s="83" t="e">
        <f>R29-SUM(R30:R33)</f>
        <v>#N/A</v>
      </c>
      <c r="U34" s="73"/>
      <c r="V34" s="72"/>
      <c r="W34" s="72"/>
      <c r="X34" s="73"/>
      <c r="Y34" s="73"/>
      <c r="Z34" s="73"/>
    </row>
    <row r="35" spans="2:18" ht="15">
      <c r="B35" s="63">
        <f>'04'!B3</f>
        <v>43922</v>
      </c>
      <c r="C35" s="130">
        <f>'04'!M35</f>
        <v>0</v>
      </c>
      <c r="D35" s="131">
        <f>'04'!M36</f>
        <v>0</v>
      </c>
      <c r="E35" s="131">
        <f>'04'!M37</f>
        <v>0</v>
      </c>
      <c r="F35" s="143">
        <f>'04'!M38</f>
        <v>0</v>
      </c>
      <c r="G35" s="143">
        <f>'04'!M39</f>
        <v>0</v>
      </c>
      <c r="H35" s="131">
        <f>'04'!M40</f>
        <v>0</v>
      </c>
      <c r="I35" s="131">
        <f>'04'!M41</f>
        <v>0</v>
      </c>
      <c r="J35" s="131">
        <f>'04'!M42</f>
        <v>0</v>
      </c>
      <c r="K35" s="148">
        <f t="shared" si="7"/>
        <v>0</v>
      </c>
      <c r="L35" s="60"/>
      <c r="M35" s="60"/>
      <c r="N35" s="60"/>
      <c r="O35" s="170"/>
      <c r="P35" s="170"/>
      <c r="Q35" s="170"/>
      <c r="R35" s="165"/>
    </row>
    <row r="36" spans="2:18" ht="15.75" thickBot="1">
      <c r="B36" s="63">
        <f>'05'!B3</f>
        <v>43952</v>
      </c>
      <c r="C36" s="130">
        <f>'05'!M35</f>
        <v>0</v>
      </c>
      <c r="D36" s="131">
        <f>'05'!M36</f>
        <v>0</v>
      </c>
      <c r="E36" s="131">
        <f>'05'!M37</f>
        <v>0</v>
      </c>
      <c r="F36" s="143">
        <f>'05'!M38</f>
        <v>0</v>
      </c>
      <c r="G36" s="143">
        <f>'05'!M39</f>
        <v>0</v>
      </c>
      <c r="H36" s="131">
        <f>'05'!M40</f>
        <v>0</v>
      </c>
      <c r="I36" s="131">
        <f>'05'!M41</f>
        <v>0</v>
      </c>
      <c r="J36" s="131">
        <f>'05'!M42</f>
        <v>0</v>
      </c>
      <c r="K36" s="148">
        <f t="shared" si="7"/>
        <v>0</v>
      </c>
      <c r="L36" s="60"/>
      <c r="M36" s="60"/>
      <c r="N36" s="221"/>
      <c r="O36" s="60"/>
      <c r="P36" s="60"/>
      <c r="Q36" s="60"/>
      <c r="R36" s="60"/>
    </row>
    <row r="37" spans="1:18" ht="15.75" thickBot="1">
      <c r="A37" s="163">
        <v>366</v>
      </c>
      <c r="B37" s="63">
        <f>'06'!B3</f>
        <v>43983</v>
      </c>
      <c r="C37" s="130">
        <f>'06'!M35</f>
        <v>0</v>
      </c>
      <c r="D37" s="131">
        <f>'06'!M36</f>
        <v>0</v>
      </c>
      <c r="E37" s="131">
        <f>'06'!M37</f>
        <v>0</v>
      </c>
      <c r="F37" s="143">
        <f>'06'!M38</f>
        <v>0</v>
      </c>
      <c r="G37" s="143">
        <f>'06'!M39</f>
        <v>0</v>
      </c>
      <c r="H37" s="131">
        <f>'06'!M40</f>
        <v>0</v>
      </c>
      <c r="I37" s="131">
        <f>'06'!M41</f>
        <v>0</v>
      </c>
      <c r="J37" s="131">
        <f>'06'!M42</f>
        <v>0</v>
      </c>
      <c r="K37" s="148">
        <f t="shared" si="7"/>
        <v>0</v>
      </c>
      <c r="O37" s="545" t="str">
        <f>VLOOKUP(A37,Tb_Traduction,DB_Langue,FALSE)</f>
        <v>Lohn Jan-Aug</v>
      </c>
      <c r="P37" s="546"/>
      <c r="Q37" s="547"/>
      <c r="R37" s="86">
        <f>R28+1</f>
        <v>2020</v>
      </c>
    </row>
    <row r="38" spans="2:18" ht="15">
      <c r="B38" s="63">
        <f>'07'!B3</f>
        <v>44013</v>
      </c>
      <c r="C38" s="130">
        <f>'07'!M35</f>
        <v>0</v>
      </c>
      <c r="D38" s="131">
        <f>'07'!M36</f>
        <v>0</v>
      </c>
      <c r="E38" s="131">
        <f>'07'!M37</f>
        <v>0</v>
      </c>
      <c r="F38" s="143">
        <f>'07'!M38</f>
        <v>0</v>
      </c>
      <c r="G38" s="143">
        <f>'07'!M39</f>
        <v>0</v>
      </c>
      <c r="H38" s="131">
        <f>'07'!M40</f>
        <v>0</v>
      </c>
      <c r="I38" s="131">
        <f>'07'!M41</f>
        <v>0</v>
      </c>
      <c r="J38" s="131">
        <f>'07'!M42</f>
        <v>0</v>
      </c>
      <c r="K38" s="148">
        <f t="shared" si="7"/>
        <v>0</v>
      </c>
      <c r="O38" s="548" t="str">
        <f aca="true" t="shared" si="9" ref="O38:O43">O29</f>
        <v>Bruttolohn</v>
      </c>
      <c r="P38" s="549"/>
      <c r="Q38" s="550"/>
      <c r="R38" s="84" t="e">
        <f>SUM(E8:E15)</f>
        <v>#N/A</v>
      </c>
    </row>
    <row r="39" spans="2:18" ht="15.75" thickBot="1">
      <c r="B39" s="64">
        <f>'08+'!B3</f>
        <v>44044</v>
      </c>
      <c r="C39" s="132">
        <f>'08+'!M35</f>
        <v>0</v>
      </c>
      <c r="D39" s="133">
        <f>'08+'!M36</f>
        <v>0</v>
      </c>
      <c r="E39" s="133">
        <f>'08+'!M37</f>
        <v>0</v>
      </c>
      <c r="F39" s="144">
        <f>'08+'!M38</f>
        <v>0</v>
      </c>
      <c r="G39" s="144">
        <f>'08+'!M39</f>
        <v>0</v>
      </c>
      <c r="H39" s="133">
        <f>'08+'!M40</f>
        <v>0</v>
      </c>
      <c r="I39" s="133">
        <f>'08+'!M41</f>
        <v>0</v>
      </c>
      <c r="J39" s="133">
        <f>'08+'!M42</f>
        <v>0</v>
      </c>
      <c r="K39" s="148">
        <f t="shared" si="7"/>
        <v>0</v>
      </c>
      <c r="O39" s="542" t="str">
        <f t="shared" si="9"/>
        <v>Abzüge AHV, IV, EO</v>
      </c>
      <c r="P39" s="543"/>
      <c r="Q39" s="544"/>
      <c r="R39" s="80" t="e">
        <f>SUM(F8:F15)</f>
        <v>#N/A</v>
      </c>
    </row>
    <row r="40" spans="1:18" ht="15">
      <c r="A40" s="163">
        <v>370</v>
      </c>
      <c r="B40" s="68" t="str">
        <f>VLOOKUP(A40,Tb_Traduction,DB_Langue,FALSE)</f>
        <v>Total</v>
      </c>
      <c r="C40" s="134">
        <f aca="true" t="shared" si="10" ref="C40:K40">SUM(C27:C39)</f>
        <v>0</v>
      </c>
      <c r="D40" s="135">
        <f t="shared" si="10"/>
        <v>0</v>
      </c>
      <c r="E40" s="135">
        <f t="shared" si="10"/>
        <v>0</v>
      </c>
      <c r="F40" s="145">
        <f t="shared" si="10"/>
        <v>0</v>
      </c>
      <c r="G40" s="145">
        <f t="shared" si="10"/>
        <v>0</v>
      </c>
      <c r="H40" s="135">
        <f t="shared" si="10"/>
        <v>0</v>
      </c>
      <c r="I40" s="135">
        <f t="shared" si="10"/>
        <v>0</v>
      </c>
      <c r="J40" s="135">
        <f t="shared" si="10"/>
        <v>0</v>
      </c>
      <c r="K40" s="149">
        <f t="shared" si="10"/>
        <v>0</v>
      </c>
      <c r="O40" s="542" t="str">
        <f t="shared" si="9"/>
        <v>Abzüge ALV</v>
      </c>
      <c r="P40" s="543"/>
      <c r="Q40" s="544"/>
      <c r="R40" s="80" t="e">
        <f>SUM(G8:G15)</f>
        <v>#N/A</v>
      </c>
    </row>
    <row r="41" spans="1:18" ht="15">
      <c r="A41" s="163">
        <v>371</v>
      </c>
      <c r="B41" s="69" t="str">
        <f>VLOOKUP(A41,Tb_Traduction,DB_Langue,FALSE)</f>
        <v>Vorgesehene Werte</v>
      </c>
      <c r="C41" s="136" t="e">
        <f>NJ_Travail</f>
        <v>#N/A</v>
      </c>
      <c r="D41" s="137" t="e">
        <f>NJ_CoursProf</f>
        <v>#N/A</v>
      </c>
      <c r="E41" s="137" t="e">
        <f>NJ_CoursIE</f>
        <v>#N/A</v>
      </c>
      <c r="F41" s="146">
        <f>NJ_Bloc</f>
        <v>0</v>
      </c>
      <c r="G41" s="146" t="e">
        <f>NJ_Conge</f>
        <v>#N/A</v>
      </c>
      <c r="H41" s="137" t="e">
        <f>NJ_Vacances</f>
        <v>#N/A</v>
      </c>
      <c r="I41" s="137">
        <v>0</v>
      </c>
      <c r="J41" s="137">
        <v>0</v>
      </c>
      <c r="K41" s="150" t="e">
        <f>SUM(C41:J41)</f>
        <v>#N/A</v>
      </c>
      <c r="L41" s="60"/>
      <c r="M41" s="60"/>
      <c r="N41" s="60"/>
      <c r="O41" s="542" t="str">
        <f t="shared" si="9"/>
        <v>Nichtbetriebsunfall</v>
      </c>
      <c r="P41" s="543"/>
      <c r="Q41" s="544"/>
      <c r="R41" s="80" t="e">
        <f>SUM(H8:H15)</f>
        <v>#N/A</v>
      </c>
    </row>
    <row r="42" spans="1:19" ht="15.75" thickBot="1">
      <c r="A42" s="163">
        <v>372</v>
      </c>
      <c r="B42" s="67" t="str">
        <f>VLOOKUP(A42,Tb_Traduction,DB_Langue,FALSE)</f>
        <v>Differenz</v>
      </c>
      <c r="C42" s="138" t="e">
        <f>C41-C40</f>
        <v>#N/A</v>
      </c>
      <c r="D42" s="139" t="e">
        <f aca="true" t="shared" si="11" ref="D42:K42">D41-D40</f>
        <v>#N/A</v>
      </c>
      <c r="E42" s="139" t="e">
        <f t="shared" si="11"/>
        <v>#N/A</v>
      </c>
      <c r="F42" s="139">
        <f t="shared" si="11"/>
        <v>0</v>
      </c>
      <c r="G42" s="147" t="e">
        <f t="shared" si="11"/>
        <v>#N/A</v>
      </c>
      <c r="H42" s="139" t="e">
        <f t="shared" si="11"/>
        <v>#N/A</v>
      </c>
      <c r="I42" s="139">
        <f t="shared" si="11"/>
        <v>0</v>
      </c>
      <c r="J42" s="139">
        <f t="shared" si="11"/>
        <v>0</v>
      </c>
      <c r="K42" s="151" t="e">
        <f t="shared" si="11"/>
        <v>#N/A</v>
      </c>
      <c r="O42" s="542" t="str">
        <f t="shared" si="9"/>
        <v>Krankentaggeld</v>
      </c>
      <c r="P42" s="543"/>
      <c r="Q42" s="544"/>
      <c r="R42" s="80" t="e">
        <f>SUM(I8:I15)</f>
        <v>#N/A</v>
      </c>
      <c r="S42" s="72"/>
    </row>
    <row r="43" spans="15:18" ht="15.75" thickBot="1">
      <c r="O43" s="526" t="str">
        <f t="shared" si="9"/>
        <v>Nettolohn</v>
      </c>
      <c r="P43" s="527"/>
      <c r="Q43" s="528"/>
      <c r="R43" s="83" t="e">
        <f>R38-SUM(R39:R42)</f>
        <v>#N/A</v>
      </c>
    </row>
    <row r="47" spans="11:13" ht="15">
      <c r="K47" s="72"/>
      <c r="M47" s="72"/>
    </row>
    <row r="48" spans="10:15" ht="15">
      <c r="J48" s="72"/>
      <c r="N48" s="60"/>
      <c r="O48" s="60"/>
    </row>
  </sheetData>
  <sheetProtection password="83EF" sheet="1" objects="1" scenarios="1"/>
  <mergeCells count="33">
    <mergeCell ref="C1:D1"/>
    <mergeCell ref="O21:R21"/>
    <mergeCell ref="O22:R22"/>
    <mergeCell ref="O25:P25"/>
    <mergeCell ref="H22:H26"/>
    <mergeCell ref="G22:G26"/>
    <mergeCell ref="C21:J21"/>
    <mergeCell ref="F22:F26"/>
    <mergeCell ref="F1:K1"/>
    <mergeCell ref="M1:N1"/>
    <mergeCell ref="B22:B26"/>
    <mergeCell ref="C22:C26"/>
    <mergeCell ref="D22:D26"/>
    <mergeCell ref="E22:E26"/>
    <mergeCell ref="K22:K26"/>
    <mergeCell ref="J22:J26"/>
    <mergeCell ref="O42:Q42"/>
    <mergeCell ref="O43:Q43"/>
    <mergeCell ref="O30:Q30"/>
    <mergeCell ref="O41:Q41"/>
    <mergeCell ref="O40:Q40"/>
    <mergeCell ref="O39:Q39"/>
    <mergeCell ref="O37:Q37"/>
    <mergeCell ref="O31:Q31"/>
    <mergeCell ref="O38:Q38"/>
    <mergeCell ref="O33:Q33"/>
    <mergeCell ref="O34:Q34"/>
    <mergeCell ref="O24:P24"/>
    <mergeCell ref="I22:I26"/>
    <mergeCell ref="O23:R23"/>
    <mergeCell ref="O28:Q28"/>
    <mergeCell ref="O29:Q29"/>
    <mergeCell ref="O32:Q32"/>
  </mergeCells>
  <conditionalFormatting sqref="K42 C42:E42 G42:H42">
    <cfRule type="cellIs" priority="2" dxfId="0" operator="equal" stopIfTrue="1">
      <formula>0</formula>
    </cfRule>
    <cfRule type="cellIs" priority="3" dxfId="2" operator="lessThan" stopIfTrue="1">
      <formula>0</formula>
    </cfRule>
  </conditionalFormatting>
  <conditionalFormatting sqref="I42:J42">
    <cfRule type="cellIs" priority="4" dxfId="0" operator="equal" stopIfTrue="1">
      <formula>0</formula>
    </cfRule>
  </conditionalFormatting>
  <conditionalFormatting sqref="F42">
    <cfRule type="cellIs" priority="1" dxfId="0" operator="equal" stopIfTrue="1">
      <formula>0</formula>
    </cfRule>
  </conditionalFormatting>
  <printOptions horizontalCentered="1"/>
  <pageMargins left="0.3937007874015748" right="0.3937007874015748" top="0.5905511811023623" bottom="0.3937007874015748" header="0.5118110236220472" footer="0.31496062992125984"/>
  <pageSetup fitToHeight="1" fitToWidth="1" horizontalDpi="600" verticalDpi="600" orientation="landscape" paperSize="9" scale="70" r:id="rId1"/>
  <headerFooter alignWithMargins="0">
    <oddFooter>&amp;C&amp;A&amp;RPage &amp;P</oddFooter>
  </headerFooter>
  <ignoredErrors>
    <ignoredError sqref="E16" formula="1"/>
  </ignoredErrors>
</worksheet>
</file>

<file path=xl/worksheets/sheet17.xml><?xml version="1.0" encoding="utf-8"?>
<worksheet xmlns="http://schemas.openxmlformats.org/spreadsheetml/2006/main" xmlns:r="http://schemas.openxmlformats.org/officeDocument/2006/relationships">
  <sheetPr codeName="Sheet18">
    <pageSetUpPr fitToPage="1"/>
  </sheetPr>
  <dimension ref="A1:C197"/>
  <sheetViews>
    <sheetView zoomScalePageLayoutView="0" workbookViewId="0" topLeftCell="A157">
      <selection activeCell="C175" sqref="C175"/>
    </sheetView>
  </sheetViews>
  <sheetFormatPr defaultColWidth="9.140625" defaultRowHeight="12.75"/>
  <cols>
    <col min="1" max="1" width="4.7109375" style="218" customWidth="1"/>
    <col min="2" max="2" width="44.7109375" style="219" customWidth="1"/>
    <col min="3" max="3" width="58.28125" style="219" customWidth="1"/>
    <col min="4" max="16384" width="9.140625" style="195" customWidth="1"/>
  </cols>
  <sheetData>
    <row r="1" spans="1:3" ht="18.75" thickBot="1">
      <c r="A1" s="192" t="s">
        <v>97</v>
      </c>
      <c r="B1" s="193" t="s">
        <v>96</v>
      </c>
      <c r="C1" s="194" t="s">
        <v>98</v>
      </c>
    </row>
    <row r="2" spans="1:3" s="199" customFormat="1" ht="15">
      <c r="A2" s="196">
        <v>1</v>
      </c>
      <c r="B2" s="197" t="s">
        <v>94</v>
      </c>
      <c r="C2" s="198" t="s">
        <v>132</v>
      </c>
    </row>
    <row r="3" spans="1:3" s="199" customFormat="1" ht="15">
      <c r="A3" s="200">
        <v>2</v>
      </c>
      <c r="B3" s="201" t="s">
        <v>95</v>
      </c>
      <c r="C3" s="202" t="s">
        <v>215</v>
      </c>
    </row>
    <row r="4" spans="1:3" s="199" customFormat="1" ht="15">
      <c r="A4" s="200">
        <v>3</v>
      </c>
      <c r="B4" s="201" t="s">
        <v>327</v>
      </c>
      <c r="C4" s="329" t="s">
        <v>329</v>
      </c>
    </row>
    <row r="5" spans="1:3" s="199" customFormat="1" ht="15">
      <c r="A5" s="200">
        <v>4</v>
      </c>
      <c r="B5" s="201" t="s">
        <v>326</v>
      </c>
      <c r="C5" s="329" t="s">
        <v>328</v>
      </c>
    </row>
    <row r="6" spans="1:3" s="199" customFormat="1" ht="15">
      <c r="A6" s="200">
        <v>5</v>
      </c>
      <c r="B6" s="201" t="s">
        <v>333</v>
      </c>
      <c r="C6" s="329" t="s">
        <v>332</v>
      </c>
    </row>
    <row r="7" spans="1:3" s="199" customFormat="1" ht="15">
      <c r="A7" s="200">
        <v>6</v>
      </c>
      <c r="B7" s="201" t="s">
        <v>347</v>
      </c>
      <c r="C7" s="202" t="s">
        <v>134</v>
      </c>
    </row>
    <row r="8" spans="1:3" s="199" customFormat="1" ht="15">
      <c r="A8" s="200">
        <v>7</v>
      </c>
      <c r="B8" s="201" t="s">
        <v>3</v>
      </c>
      <c r="C8" s="202" t="s">
        <v>135</v>
      </c>
    </row>
    <row r="9" spans="1:3" s="199" customFormat="1" ht="15">
      <c r="A9" s="200">
        <v>8</v>
      </c>
      <c r="B9" s="201" t="s">
        <v>5</v>
      </c>
      <c r="C9" s="202" t="s">
        <v>136</v>
      </c>
    </row>
    <row r="10" spans="1:3" s="199" customFormat="1" ht="15">
      <c r="A10" s="200">
        <v>9</v>
      </c>
      <c r="B10" s="201" t="s">
        <v>253</v>
      </c>
      <c r="C10" s="202" t="s">
        <v>137</v>
      </c>
    </row>
    <row r="11" spans="1:3" s="199" customFormat="1" ht="15">
      <c r="A11" s="200">
        <v>10</v>
      </c>
      <c r="B11" s="201" t="s">
        <v>7</v>
      </c>
      <c r="C11" s="202" t="s">
        <v>192</v>
      </c>
    </row>
    <row r="12" spans="1:3" s="199" customFormat="1" ht="15">
      <c r="A12" s="200">
        <v>11</v>
      </c>
      <c r="B12" s="201" t="s">
        <v>337</v>
      </c>
      <c r="C12" s="329" t="s">
        <v>336</v>
      </c>
    </row>
    <row r="13" spans="1:3" s="199" customFormat="1" ht="15">
      <c r="A13" s="200">
        <v>12</v>
      </c>
      <c r="B13" s="201" t="s">
        <v>121</v>
      </c>
      <c r="C13" s="202" t="s">
        <v>138</v>
      </c>
    </row>
    <row r="14" spans="1:3" s="199" customFormat="1" ht="15">
      <c r="A14" s="200">
        <v>13</v>
      </c>
      <c r="B14" s="201" t="s">
        <v>225</v>
      </c>
      <c r="C14" s="202" t="s">
        <v>226</v>
      </c>
    </row>
    <row r="15" spans="1:3" s="199" customFormat="1" ht="28.5">
      <c r="A15" s="330">
        <v>14</v>
      </c>
      <c r="B15" s="365" t="s">
        <v>353</v>
      </c>
      <c r="C15" s="366" t="s">
        <v>355</v>
      </c>
    </row>
    <row r="16" spans="1:3" s="199" customFormat="1" ht="29.25" thickBot="1">
      <c r="A16" s="330">
        <v>15</v>
      </c>
      <c r="B16" s="365" t="s">
        <v>352</v>
      </c>
      <c r="C16" s="366" t="s">
        <v>354</v>
      </c>
    </row>
    <row r="17" spans="1:3" s="199" customFormat="1" ht="15">
      <c r="A17" s="196">
        <v>100</v>
      </c>
      <c r="B17" s="197" t="s">
        <v>100</v>
      </c>
      <c r="C17" s="198" t="s">
        <v>309</v>
      </c>
    </row>
    <row r="18" spans="1:3" s="199" customFormat="1" ht="15">
      <c r="A18" s="200">
        <v>101</v>
      </c>
      <c r="B18" s="201" t="s">
        <v>93</v>
      </c>
      <c r="C18" s="202" t="s">
        <v>99</v>
      </c>
    </row>
    <row r="19" spans="1:3" s="199" customFormat="1" ht="15">
      <c r="A19" s="200">
        <v>110</v>
      </c>
      <c r="B19" s="201" t="s">
        <v>10</v>
      </c>
      <c r="C19" s="202" t="s">
        <v>158</v>
      </c>
    </row>
    <row r="20" spans="1:3" s="199" customFormat="1" ht="15">
      <c r="A20" s="200">
        <v>111</v>
      </c>
      <c r="B20" s="201" t="s">
        <v>8</v>
      </c>
      <c r="C20" s="202" t="s">
        <v>310</v>
      </c>
    </row>
    <row r="21" spans="1:3" s="199" customFormat="1" ht="15">
      <c r="A21" s="200">
        <v>112</v>
      </c>
      <c r="B21" s="201" t="s">
        <v>9</v>
      </c>
      <c r="C21" s="202" t="s">
        <v>139</v>
      </c>
    </row>
    <row r="22" spans="1:3" s="199" customFormat="1" ht="15">
      <c r="A22" s="200">
        <v>120</v>
      </c>
      <c r="B22" s="201" t="s">
        <v>102</v>
      </c>
      <c r="C22" s="202" t="s">
        <v>159</v>
      </c>
    </row>
    <row r="23" spans="1:3" s="199" customFormat="1" ht="15">
      <c r="A23" s="200">
        <v>121</v>
      </c>
      <c r="B23" s="201" t="s">
        <v>8</v>
      </c>
      <c r="C23" s="202" t="s">
        <v>310</v>
      </c>
    </row>
    <row r="24" spans="1:3" s="199" customFormat="1" ht="15">
      <c r="A24" s="200">
        <v>122</v>
      </c>
      <c r="B24" s="201" t="s">
        <v>9</v>
      </c>
      <c r="C24" s="202" t="s">
        <v>139</v>
      </c>
    </row>
    <row r="25" spans="1:3" s="199" customFormat="1" ht="15">
      <c r="A25" s="200">
        <v>123</v>
      </c>
      <c r="B25" s="201" t="s">
        <v>11</v>
      </c>
      <c r="C25" s="202" t="s">
        <v>140</v>
      </c>
    </row>
    <row r="26" spans="1:3" s="199" customFormat="1" ht="15">
      <c r="A26" s="200">
        <v>124</v>
      </c>
      <c r="B26" s="201" t="s">
        <v>12</v>
      </c>
      <c r="C26" s="202" t="s">
        <v>141</v>
      </c>
    </row>
    <row r="27" spans="1:3" s="199" customFormat="1" ht="15">
      <c r="A27" s="200">
        <v>125</v>
      </c>
      <c r="B27" s="201" t="s">
        <v>51</v>
      </c>
      <c r="C27" s="202" t="s">
        <v>314</v>
      </c>
    </row>
    <row r="28" spans="1:3" s="199" customFormat="1" ht="28.5">
      <c r="A28" s="200">
        <v>126</v>
      </c>
      <c r="B28" s="201" t="s">
        <v>357</v>
      </c>
      <c r="C28" s="329" t="s">
        <v>356</v>
      </c>
    </row>
    <row r="29" spans="1:3" s="199" customFormat="1" ht="15">
      <c r="A29" s="200">
        <v>130</v>
      </c>
      <c r="B29" s="201" t="s">
        <v>21</v>
      </c>
      <c r="C29" s="202" t="s">
        <v>142</v>
      </c>
    </row>
    <row r="30" spans="1:3" s="199" customFormat="1" ht="15">
      <c r="A30" s="200">
        <v>131</v>
      </c>
      <c r="B30" s="201" t="s">
        <v>13</v>
      </c>
      <c r="C30" s="202" t="s">
        <v>143</v>
      </c>
    </row>
    <row r="31" spans="1:3" s="199" customFormat="1" ht="15">
      <c r="A31" s="200">
        <v>132</v>
      </c>
      <c r="B31" s="201" t="s">
        <v>88</v>
      </c>
      <c r="C31" s="202" t="s">
        <v>214</v>
      </c>
    </row>
    <row r="32" spans="1:3" s="199" customFormat="1" ht="15">
      <c r="A32" s="200">
        <v>133</v>
      </c>
      <c r="B32" s="201" t="s">
        <v>227</v>
      </c>
      <c r="C32" s="202" t="s">
        <v>226</v>
      </c>
    </row>
    <row r="33" spans="1:3" s="199" customFormat="1" ht="15">
      <c r="A33" s="200">
        <v>135</v>
      </c>
      <c r="B33" s="201" t="s">
        <v>25</v>
      </c>
      <c r="C33" s="202" t="s">
        <v>177</v>
      </c>
    </row>
    <row r="34" spans="1:3" s="199" customFormat="1" ht="15">
      <c r="A34" s="200">
        <v>136</v>
      </c>
      <c r="B34" s="201" t="s">
        <v>319</v>
      </c>
      <c r="C34" s="202" t="s">
        <v>321</v>
      </c>
    </row>
    <row r="35" spans="1:3" s="199" customFormat="1" ht="15">
      <c r="A35" s="200">
        <v>137</v>
      </c>
      <c r="B35" s="201" t="s">
        <v>320</v>
      </c>
      <c r="C35" s="202" t="s">
        <v>322</v>
      </c>
    </row>
    <row r="36" spans="1:3" s="199" customFormat="1" ht="15">
      <c r="A36" s="200">
        <v>140</v>
      </c>
      <c r="B36" s="201" t="s">
        <v>41</v>
      </c>
      <c r="C36" s="202" t="s">
        <v>193</v>
      </c>
    </row>
    <row r="37" spans="1:3" s="199" customFormat="1" ht="15">
      <c r="A37" s="200">
        <v>141</v>
      </c>
      <c r="B37" s="201" t="s">
        <v>115</v>
      </c>
      <c r="C37" s="202" t="s">
        <v>175</v>
      </c>
    </row>
    <row r="38" spans="1:3" s="199" customFormat="1" ht="15">
      <c r="A38" s="200">
        <v>142</v>
      </c>
      <c r="B38" s="201" t="s">
        <v>114</v>
      </c>
      <c r="C38" s="202" t="s">
        <v>176</v>
      </c>
    </row>
    <row r="39" spans="1:3" s="199" customFormat="1" ht="15">
      <c r="A39" s="200">
        <v>143</v>
      </c>
      <c r="B39" s="201" t="s">
        <v>92</v>
      </c>
      <c r="C39" s="202" t="s">
        <v>216</v>
      </c>
    </row>
    <row r="40" spans="1:3" s="199" customFormat="1" ht="15">
      <c r="A40" s="200">
        <v>144</v>
      </c>
      <c r="B40" s="201" t="s">
        <v>28</v>
      </c>
      <c r="C40" s="202" t="s">
        <v>311</v>
      </c>
    </row>
    <row r="41" spans="1:3" s="199" customFormat="1" ht="15">
      <c r="A41" s="200">
        <v>145</v>
      </c>
      <c r="B41" s="201" t="s">
        <v>29</v>
      </c>
      <c r="C41" s="202" t="s">
        <v>312</v>
      </c>
    </row>
    <row r="42" spans="1:3" s="199" customFormat="1" ht="15">
      <c r="A42" s="200">
        <v>146</v>
      </c>
      <c r="B42" s="201" t="s">
        <v>26</v>
      </c>
      <c r="C42" s="202" t="s">
        <v>133</v>
      </c>
    </row>
    <row r="43" spans="1:3" s="199" customFormat="1" ht="15">
      <c r="A43" s="200">
        <v>147</v>
      </c>
      <c r="B43" s="201" t="s">
        <v>27</v>
      </c>
      <c r="C43" s="202" t="s">
        <v>313</v>
      </c>
    </row>
    <row r="44" spans="1:3" s="199" customFormat="1" ht="15">
      <c r="A44" s="200">
        <v>148</v>
      </c>
      <c r="B44" s="201" t="s">
        <v>318</v>
      </c>
      <c r="C44" s="202" t="s">
        <v>323</v>
      </c>
    </row>
    <row r="45" spans="1:3" s="199" customFormat="1" ht="28.5">
      <c r="A45" s="200">
        <v>149</v>
      </c>
      <c r="B45" s="201" t="s">
        <v>257</v>
      </c>
      <c r="C45" s="202" t="s">
        <v>256</v>
      </c>
    </row>
    <row r="46" spans="1:3" s="199" customFormat="1" ht="15">
      <c r="A46" s="200">
        <v>150</v>
      </c>
      <c r="B46" s="201" t="s">
        <v>19</v>
      </c>
      <c r="C46" s="202" t="s">
        <v>202</v>
      </c>
    </row>
    <row r="47" spans="1:3" s="199" customFormat="1" ht="15">
      <c r="A47" s="200">
        <v>151</v>
      </c>
      <c r="B47" s="201" t="s">
        <v>22</v>
      </c>
      <c r="C47" s="202" t="s">
        <v>145</v>
      </c>
    </row>
    <row r="48" spans="1:3" s="199" customFormat="1" ht="15">
      <c r="A48" s="200">
        <v>152</v>
      </c>
      <c r="B48" s="201" t="s">
        <v>24</v>
      </c>
      <c r="C48" s="202" t="s">
        <v>144</v>
      </c>
    </row>
    <row r="49" spans="1:3" s="199" customFormat="1" ht="15">
      <c r="A49" s="200">
        <v>153</v>
      </c>
      <c r="B49" s="201" t="s">
        <v>23</v>
      </c>
      <c r="C49" s="202" t="s">
        <v>146</v>
      </c>
    </row>
    <row r="50" spans="1:3" s="199" customFormat="1" ht="15">
      <c r="A50" s="200">
        <v>154</v>
      </c>
      <c r="B50" s="201" t="s">
        <v>47</v>
      </c>
      <c r="C50" s="202" t="s">
        <v>147</v>
      </c>
    </row>
    <row r="51" spans="1:3" s="199" customFormat="1" ht="15">
      <c r="A51" s="200">
        <v>155</v>
      </c>
      <c r="B51" s="201" t="s">
        <v>324</v>
      </c>
      <c r="C51" s="202" t="s">
        <v>325</v>
      </c>
    </row>
    <row r="52" spans="1:3" s="199" customFormat="1" ht="28.5">
      <c r="A52" s="200">
        <v>156</v>
      </c>
      <c r="B52" s="201" t="s">
        <v>302</v>
      </c>
      <c r="C52" s="202" t="s">
        <v>306</v>
      </c>
    </row>
    <row r="53" spans="1:3" s="199" customFormat="1" ht="28.5">
      <c r="A53" s="200">
        <v>157</v>
      </c>
      <c r="B53" s="201" t="s">
        <v>297</v>
      </c>
      <c r="C53" s="329" t="s">
        <v>305</v>
      </c>
    </row>
    <row r="54" spans="1:3" s="199" customFormat="1" ht="28.5">
      <c r="A54" s="200">
        <v>158</v>
      </c>
      <c r="B54" s="201" t="s">
        <v>338</v>
      </c>
      <c r="C54" s="329" t="s">
        <v>339</v>
      </c>
    </row>
    <row r="55" spans="1:3" s="199" customFormat="1" ht="42.75">
      <c r="A55" s="200">
        <v>159</v>
      </c>
      <c r="B55" s="201" t="s">
        <v>348</v>
      </c>
      <c r="C55" s="329" t="s">
        <v>349</v>
      </c>
    </row>
    <row r="56" spans="1:3" s="199" customFormat="1" ht="15">
      <c r="A56" s="200">
        <v>160</v>
      </c>
      <c r="B56" s="201" t="s">
        <v>101</v>
      </c>
      <c r="C56" s="202" t="s">
        <v>203</v>
      </c>
    </row>
    <row r="57" spans="1:3" s="199" customFormat="1" ht="15">
      <c r="A57" s="200">
        <v>161</v>
      </c>
      <c r="B57" s="201" t="s">
        <v>18</v>
      </c>
      <c r="C57" s="202" t="s">
        <v>160</v>
      </c>
    </row>
    <row r="58" spans="1:3" s="199" customFormat="1" ht="15">
      <c r="A58" s="200">
        <v>162</v>
      </c>
      <c r="B58" s="201" t="s">
        <v>20</v>
      </c>
      <c r="C58" s="202" t="s">
        <v>138</v>
      </c>
    </row>
    <row r="59" spans="1:3" s="199" customFormat="1" ht="15">
      <c r="A59" s="200">
        <v>163</v>
      </c>
      <c r="B59" s="201" t="s">
        <v>16</v>
      </c>
      <c r="C59" s="202" t="s">
        <v>137</v>
      </c>
    </row>
    <row r="60" spans="1:3" s="199" customFormat="1" ht="15">
      <c r="A60" s="200">
        <v>164</v>
      </c>
      <c r="B60" s="201" t="s">
        <v>17</v>
      </c>
      <c r="C60" s="202" t="s">
        <v>192</v>
      </c>
    </row>
    <row r="61" spans="1:3" s="199" customFormat="1" ht="15">
      <c r="A61" s="200">
        <v>165</v>
      </c>
      <c r="B61" s="201" t="s">
        <v>14</v>
      </c>
      <c r="C61" s="202" t="s">
        <v>135</v>
      </c>
    </row>
    <row r="62" spans="1:3" s="199" customFormat="1" ht="15">
      <c r="A62" s="200">
        <v>166</v>
      </c>
      <c r="B62" s="201" t="s">
        <v>15</v>
      </c>
      <c r="C62" s="202" t="s">
        <v>136</v>
      </c>
    </row>
    <row r="63" spans="1:3" s="199" customFormat="1" ht="15">
      <c r="A63" s="200">
        <v>167</v>
      </c>
      <c r="B63" s="201" t="s">
        <v>224</v>
      </c>
      <c r="C63" s="202" t="s">
        <v>315</v>
      </c>
    </row>
    <row r="64" spans="1:3" s="199" customFormat="1" ht="15">
      <c r="A64" s="200">
        <v>168</v>
      </c>
      <c r="B64" s="201" t="s">
        <v>264</v>
      </c>
      <c r="C64" s="202" t="s">
        <v>286</v>
      </c>
    </row>
    <row r="65" spans="1:3" s="199" customFormat="1" ht="15">
      <c r="A65" s="200">
        <v>169</v>
      </c>
      <c r="B65" s="201" t="s">
        <v>265</v>
      </c>
      <c r="C65" s="202" t="s">
        <v>287</v>
      </c>
    </row>
    <row r="66" spans="1:3" s="199" customFormat="1" ht="15">
      <c r="A66" s="200">
        <v>170</v>
      </c>
      <c r="B66" s="201" t="s">
        <v>330</v>
      </c>
      <c r="C66" s="329" t="s">
        <v>331</v>
      </c>
    </row>
    <row r="67" spans="1:3" s="199" customFormat="1" ht="15">
      <c r="A67" s="200">
        <v>171</v>
      </c>
      <c r="B67" s="201" t="s">
        <v>362</v>
      </c>
      <c r="C67" s="329" t="s">
        <v>359</v>
      </c>
    </row>
    <row r="68" spans="1:3" s="199" customFormat="1" ht="15">
      <c r="A68" s="200">
        <v>180</v>
      </c>
      <c r="B68" s="201" t="s">
        <v>43</v>
      </c>
      <c r="C68" s="202" t="s">
        <v>178</v>
      </c>
    </row>
    <row r="69" spans="1:3" s="199" customFormat="1" ht="15">
      <c r="A69" s="200">
        <v>181</v>
      </c>
      <c r="B69" s="201" t="s">
        <v>45</v>
      </c>
      <c r="C69" s="202" t="s">
        <v>316</v>
      </c>
    </row>
    <row r="70" spans="1:3" s="199" customFormat="1" ht="15">
      <c r="A70" s="200">
        <v>182</v>
      </c>
      <c r="B70" s="201" t="s">
        <v>44</v>
      </c>
      <c r="C70" s="202" t="s">
        <v>317</v>
      </c>
    </row>
    <row r="71" spans="1:3" s="199" customFormat="1" ht="15">
      <c r="A71" s="200">
        <v>183</v>
      </c>
      <c r="B71" s="201" t="s">
        <v>46</v>
      </c>
      <c r="C71" s="202" t="s">
        <v>148</v>
      </c>
    </row>
    <row r="72" spans="1:3" s="199" customFormat="1" ht="15.75" thickBot="1">
      <c r="A72" s="200">
        <v>184</v>
      </c>
      <c r="B72" s="205" t="s">
        <v>48</v>
      </c>
      <c r="C72" s="206" t="s">
        <v>149</v>
      </c>
    </row>
    <row r="73" spans="1:3" s="199" customFormat="1" ht="15">
      <c r="A73" s="196">
        <v>200</v>
      </c>
      <c r="B73" s="197" t="s">
        <v>34</v>
      </c>
      <c r="C73" s="198" t="s">
        <v>34</v>
      </c>
    </row>
    <row r="74" spans="1:3" s="199" customFormat="1" ht="15">
      <c r="A74" s="200">
        <v>201</v>
      </c>
      <c r="B74" s="201" t="s">
        <v>38</v>
      </c>
      <c r="C74" s="202" t="s">
        <v>198</v>
      </c>
    </row>
    <row r="75" spans="1:3" s="199" customFormat="1" ht="15">
      <c r="A75" s="200">
        <v>202</v>
      </c>
      <c r="B75" s="201" t="s">
        <v>104</v>
      </c>
      <c r="C75" s="202" t="s">
        <v>209</v>
      </c>
    </row>
    <row r="76" spans="1:3" s="199" customFormat="1" ht="15">
      <c r="A76" s="200">
        <v>203</v>
      </c>
      <c r="B76" s="201" t="s">
        <v>103</v>
      </c>
      <c r="C76" s="202" t="s">
        <v>199</v>
      </c>
    </row>
    <row r="77" spans="1:3" s="199" customFormat="1" ht="15">
      <c r="A77" s="200">
        <v>204</v>
      </c>
      <c r="B77" s="201" t="s">
        <v>21</v>
      </c>
      <c r="C77" s="202" t="s">
        <v>200</v>
      </c>
    </row>
    <row r="78" spans="1:3" s="199" customFormat="1" ht="15">
      <c r="A78" s="200">
        <v>210</v>
      </c>
      <c r="B78" s="201" t="s">
        <v>341</v>
      </c>
      <c r="C78" s="202" t="s">
        <v>341</v>
      </c>
    </row>
    <row r="79" spans="1:3" s="199" customFormat="1" ht="15">
      <c r="A79" s="200">
        <v>211</v>
      </c>
      <c r="B79" s="201" t="s">
        <v>1</v>
      </c>
      <c r="C79" s="202" t="s">
        <v>145</v>
      </c>
    </row>
    <row r="80" spans="1:3" s="199" customFormat="1" ht="15">
      <c r="A80" s="200">
        <v>212</v>
      </c>
      <c r="B80" s="201" t="s">
        <v>2</v>
      </c>
      <c r="C80" s="202" t="s">
        <v>144</v>
      </c>
    </row>
    <row r="81" spans="1:3" s="199" customFormat="1" ht="15">
      <c r="A81" s="200">
        <v>213</v>
      </c>
      <c r="B81" s="201" t="s">
        <v>4</v>
      </c>
      <c r="C81" s="202" t="s">
        <v>146</v>
      </c>
    </row>
    <row r="82" spans="1:3" s="199" customFormat="1" ht="15">
      <c r="A82" s="200">
        <v>214</v>
      </c>
      <c r="B82" s="201" t="s">
        <v>6</v>
      </c>
      <c r="C82" s="202" t="s">
        <v>147</v>
      </c>
    </row>
    <row r="83" spans="1:3" s="199" customFormat="1" ht="42.75">
      <c r="A83" s="200">
        <v>215</v>
      </c>
      <c r="B83" s="201" t="s">
        <v>122</v>
      </c>
      <c r="C83" s="202" t="s">
        <v>179</v>
      </c>
    </row>
    <row r="84" spans="1:3" s="199" customFormat="1" ht="28.5">
      <c r="A84" s="200">
        <v>216</v>
      </c>
      <c r="B84" s="201" t="s">
        <v>123</v>
      </c>
      <c r="C84" s="202" t="s">
        <v>180</v>
      </c>
    </row>
    <row r="85" spans="1:3" s="199" customFormat="1" ht="142.5">
      <c r="A85" s="200">
        <v>217</v>
      </c>
      <c r="B85" s="201" t="s">
        <v>360</v>
      </c>
      <c r="C85" s="202" t="s">
        <v>361</v>
      </c>
    </row>
    <row r="86" spans="1:3" s="199" customFormat="1" ht="15">
      <c r="A86" s="200">
        <v>220</v>
      </c>
      <c r="B86" s="201" t="s">
        <v>65</v>
      </c>
      <c r="C86" s="202" t="s">
        <v>151</v>
      </c>
    </row>
    <row r="87" spans="1:3" s="199" customFormat="1" ht="15">
      <c r="A87" s="200">
        <v>221</v>
      </c>
      <c r="B87" s="201" t="s">
        <v>66</v>
      </c>
      <c r="C87" s="202" t="s">
        <v>152</v>
      </c>
    </row>
    <row r="88" spans="1:3" s="199" customFormat="1" ht="15">
      <c r="A88" s="200">
        <v>222</v>
      </c>
      <c r="B88" s="201" t="s">
        <v>39</v>
      </c>
      <c r="C88" s="202" t="s">
        <v>217</v>
      </c>
    </row>
    <row r="89" spans="1:3" s="199" customFormat="1" ht="15">
      <c r="A89" s="200">
        <v>223</v>
      </c>
      <c r="B89" s="201" t="s">
        <v>40</v>
      </c>
      <c r="C89" s="202" t="s">
        <v>140</v>
      </c>
    </row>
    <row r="90" spans="1:3" s="199" customFormat="1" ht="15">
      <c r="A90" s="200">
        <v>224</v>
      </c>
      <c r="B90" s="201" t="s">
        <v>12</v>
      </c>
      <c r="C90" s="202" t="s">
        <v>141</v>
      </c>
    </row>
    <row r="91" spans="1:3" s="199" customFormat="1" ht="15">
      <c r="A91" s="200">
        <v>230</v>
      </c>
      <c r="B91" s="201" t="s">
        <v>0</v>
      </c>
      <c r="C91" s="202" t="s">
        <v>153</v>
      </c>
    </row>
    <row r="92" spans="1:3" s="199" customFormat="1" ht="15">
      <c r="A92" s="200">
        <v>231</v>
      </c>
      <c r="B92" s="207" t="s">
        <v>113</v>
      </c>
      <c r="C92" s="207" t="s">
        <v>304</v>
      </c>
    </row>
    <row r="93" spans="1:3" s="199" customFormat="1" ht="15">
      <c r="A93" s="200">
        <v>232</v>
      </c>
      <c r="B93" s="201" t="s">
        <v>90</v>
      </c>
      <c r="C93" s="202" t="s">
        <v>168</v>
      </c>
    </row>
    <row r="94" spans="1:3" s="199" customFormat="1" ht="15">
      <c r="A94" s="200">
        <v>233</v>
      </c>
      <c r="B94" s="201" t="s">
        <v>89</v>
      </c>
      <c r="C94" s="202" t="s">
        <v>154</v>
      </c>
    </row>
    <row r="95" spans="1:3" s="199" customFormat="1" ht="15">
      <c r="A95" s="200">
        <v>240</v>
      </c>
      <c r="B95" s="201" t="s">
        <v>105</v>
      </c>
      <c r="C95" s="202" t="s">
        <v>167</v>
      </c>
    </row>
    <row r="96" spans="1:3" s="199" customFormat="1" ht="15">
      <c r="A96" s="200">
        <v>241</v>
      </c>
      <c r="B96" s="201" t="s">
        <v>49</v>
      </c>
      <c r="C96" s="202" t="s">
        <v>204</v>
      </c>
    </row>
    <row r="97" spans="1:3" s="199" customFormat="1" ht="15">
      <c r="A97" s="200">
        <v>242</v>
      </c>
      <c r="B97" s="201" t="s">
        <v>106</v>
      </c>
      <c r="C97" s="202" t="s">
        <v>190</v>
      </c>
    </row>
    <row r="98" spans="1:3" s="199" customFormat="1" ht="15">
      <c r="A98" s="200">
        <v>243</v>
      </c>
      <c r="B98" s="201" t="s">
        <v>107</v>
      </c>
      <c r="C98" s="202" t="s">
        <v>189</v>
      </c>
    </row>
    <row r="99" spans="1:3" s="199" customFormat="1" ht="15">
      <c r="A99" s="200">
        <v>244</v>
      </c>
      <c r="B99" s="201" t="s">
        <v>350</v>
      </c>
      <c r="C99" s="202" t="s">
        <v>196</v>
      </c>
    </row>
    <row r="100" spans="1:3" s="199" customFormat="1" ht="15">
      <c r="A100" s="200">
        <v>245</v>
      </c>
      <c r="B100" s="201" t="s">
        <v>64</v>
      </c>
      <c r="C100" s="202" t="s">
        <v>197</v>
      </c>
    </row>
    <row r="101" spans="1:3" s="199" customFormat="1" ht="15">
      <c r="A101" s="200">
        <v>246</v>
      </c>
      <c r="B101" s="201" t="s">
        <v>60</v>
      </c>
      <c r="C101" s="202" t="s">
        <v>218</v>
      </c>
    </row>
    <row r="102" spans="1:3" s="199" customFormat="1" ht="15">
      <c r="A102" s="200">
        <v>247</v>
      </c>
      <c r="B102" s="201" t="s">
        <v>56</v>
      </c>
      <c r="C102" s="202" t="s">
        <v>294</v>
      </c>
    </row>
    <row r="103" spans="1:3" s="199" customFormat="1" ht="15">
      <c r="A103" s="200">
        <v>248</v>
      </c>
      <c r="B103" s="201" t="s">
        <v>293</v>
      </c>
      <c r="C103" s="202" t="s">
        <v>295</v>
      </c>
    </row>
    <row r="104" spans="1:3" s="199" customFormat="1" ht="28.5">
      <c r="A104" s="200">
        <v>249</v>
      </c>
      <c r="B104" s="201" t="s">
        <v>52</v>
      </c>
      <c r="C104" s="202" t="s">
        <v>213</v>
      </c>
    </row>
    <row r="105" spans="1:3" s="199" customFormat="1" ht="15">
      <c r="A105" s="200">
        <v>250</v>
      </c>
      <c r="B105" s="201" t="s">
        <v>54</v>
      </c>
      <c r="C105" s="202" t="s">
        <v>201</v>
      </c>
    </row>
    <row r="106" spans="1:3" s="199" customFormat="1" ht="15">
      <c r="A106" s="200">
        <v>251</v>
      </c>
      <c r="B106" s="201" t="s">
        <v>55</v>
      </c>
      <c r="C106" s="202" t="s">
        <v>212</v>
      </c>
    </row>
    <row r="107" spans="1:3" s="199" customFormat="1" ht="15">
      <c r="A107" s="200">
        <v>252</v>
      </c>
      <c r="B107" s="201" t="s">
        <v>58</v>
      </c>
      <c r="C107" s="202" t="s">
        <v>211</v>
      </c>
    </row>
    <row r="108" spans="1:3" s="199" customFormat="1" ht="15">
      <c r="A108" s="200">
        <v>253</v>
      </c>
      <c r="B108" s="201" t="s">
        <v>59</v>
      </c>
      <c r="C108" s="202" t="s">
        <v>181</v>
      </c>
    </row>
    <row r="109" spans="1:3" s="199" customFormat="1" ht="15">
      <c r="A109" s="200">
        <v>254</v>
      </c>
      <c r="B109" s="201" t="s">
        <v>53</v>
      </c>
      <c r="C109" s="202" t="s">
        <v>205</v>
      </c>
    </row>
    <row r="110" spans="1:3" s="199" customFormat="1" ht="15">
      <c r="A110" s="200">
        <v>255</v>
      </c>
      <c r="B110" s="201" t="s">
        <v>57</v>
      </c>
      <c r="C110" s="202" t="s">
        <v>207</v>
      </c>
    </row>
    <row r="111" spans="1:3" s="199" customFormat="1" ht="15">
      <c r="A111" s="200">
        <v>260</v>
      </c>
      <c r="B111" s="201" t="s">
        <v>70</v>
      </c>
      <c r="C111" s="202" t="s">
        <v>173</v>
      </c>
    </row>
    <row r="112" spans="1:3" s="199" customFormat="1" ht="28.5">
      <c r="A112" s="200">
        <v>261</v>
      </c>
      <c r="B112" s="201" t="s">
        <v>277</v>
      </c>
      <c r="C112" s="202" t="s">
        <v>276</v>
      </c>
    </row>
    <row r="113" spans="1:3" s="199" customFormat="1" ht="28.5">
      <c r="A113" s="200">
        <v>262</v>
      </c>
      <c r="B113" s="201" t="s">
        <v>278</v>
      </c>
      <c r="C113" s="202" t="s">
        <v>279</v>
      </c>
    </row>
    <row r="114" spans="1:3" s="199" customFormat="1" ht="28.5">
      <c r="A114" s="200">
        <v>263</v>
      </c>
      <c r="B114" s="201" t="s">
        <v>281</v>
      </c>
      <c r="C114" s="202" t="s">
        <v>280</v>
      </c>
    </row>
    <row r="115" spans="1:3" s="199" customFormat="1" ht="28.5">
      <c r="A115" s="200">
        <v>264</v>
      </c>
      <c r="B115" s="201" t="s">
        <v>282</v>
      </c>
      <c r="C115" s="202" t="s">
        <v>283</v>
      </c>
    </row>
    <row r="116" spans="1:3" s="199" customFormat="1" ht="15">
      <c r="A116" s="200">
        <v>265</v>
      </c>
      <c r="B116" s="201" t="s">
        <v>272</v>
      </c>
      <c r="C116" s="202" t="s">
        <v>271</v>
      </c>
    </row>
    <row r="117" spans="1:3" s="199" customFormat="1" ht="15">
      <c r="A117" s="200">
        <v>266</v>
      </c>
      <c r="B117" s="201" t="s">
        <v>273</v>
      </c>
      <c r="C117" s="202" t="s">
        <v>194</v>
      </c>
    </row>
    <row r="118" spans="1:3" s="199" customFormat="1" ht="15">
      <c r="A118" s="200">
        <v>267</v>
      </c>
      <c r="B118" s="201" t="s">
        <v>274</v>
      </c>
      <c r="C118" s="202" t="s">
        <v>208</v>
      </c>
    </row>
    <row r="119" spans="1:3" s="199" customFormat="1" ht="15">
      <c r="A119" s="200">
        <v>268</v>
      </c>
      <c r="B119" s="201" t="s">
        <v>275</v>
      </c>
      <c r="C119" s="202" t="s">
        <v>270</v>
      </c>
    </row>
    <row r="120" spans="1:3" s="199" customFormat="1" ht="15">
      <c r="A120" s="200">
        <v>269</v>
      </c>
      <c r="B120" s="201" t="s">
        <v>15</v>
      </c>
      <c r="C120" s="202" t="s">
        <v>195</v>
      </c>
    </row>
    <row r="121" spans="1:3" s="199" customFormat="1" ht="15">
      <c r="A121" s="200">
        <v>270</v>
      </c>
      <c r="B121" s="201" t="s">
        <v>264</v>
      </c>
      <c r="C121" s="202" t="s">
        <v>267</v>
      </c>
    </row>
    <row r="122" spans="1:3" s="199" customFormat="1" ht="15">
      <c r="A122" s="200">
        <v>271</v>
      </c>
      <c r="B122" s="201" t="s">
        <v>265</v>
      </c>
      <c r="C122" s="202" t="s">
        <v>266</v>
      </c>
    </row>
    <row r="123" spans="1:3" s="199" customFormat="1" ht="15">
      <c r="A123" s="200">
        <v>272</v>
      </c>
      <c r="B123" s="201" t="s">
        <v>362</v>
      </c>
      <c r="C123" s="202" t="s">
        <v>363</v>
      </c>
    </row>
    <row r="124" spans="1:3" s="199" customFormat="1" ht="15">
      <c r="A124" s="200">
        <v>275</v>
      </c>
      <c r="B124" s="201" t="s">
        <v>33</v>
      </c>
      <c r="C124" s="202" t="s">
        <v>33</v>
      </c>
    </row>
    <row r="125" spans="1:3" s="199" customFormat="1" ht="15">
      <c r="A125" s="200">
        <v>276</v>
      </c>
      <c r="B125" s="201" t="s">
        <v>68</v>
      </c>
      <c r="C125" s="202" t="s">
        <v>191</v>
      </c>
    </row>
    <row r="126" spans="1:3" s="199" customFormat="1" ht="15">
      <c r="A126" s="200">
        <v>277</v>
      </c>
      <c r="B126" s="201" t="s">
        <v>36</v>
      </c>
      <c r="C126" s="202" t="s">
        <v>33</v>
      </c>
    </row>
    <row r="127" spans="1:3" s="199" customFormat="1" ht="15">
      <c r="A127" s="200">
        <v>280</v>
      </c>
      <c r="B127" s="201" t="s">
        <v>70</v>
      </c>
      <c r="C127" s="202" t="s">
        <v>173</v>
      </c>
    </row>
    <row r="128" spans="1:3" s="199" customFormat="1" ht="15">
      <c r="A128" s="200">
        <v>281</v>
      </c>
      <c r="B128" s="201" t="s">
        <v>116</v>
      </c>
      <c r="C128" s="202" t="s">
        <v>219</v>
      </c>
    </row>
    <row r="129" spans="1:3" s="199" customFormat="1" ht="15">
      <c r="A129" s="200">
        <v>282</v>
      </c>
      <c r="B129" s="201" t="s">
        <v>117</v>
      </c>
      <c r="C129" s="202" t="s">
        <v>220</v>
      </c>
    </row>
    <row r="130" spans="1:3" s="199" customFormat="1" ht="15">
      <c r="A130" s="200">
        <v>283</v>
      </c>
      <c r="B130" s="201" t="s">
        <v>108</v>
      </c>
      <c r="C130" s="202" t="s">
        <v>155</v>
      </c>
    </row>
    <row r="131" spans="1:3" s="199" customFormat="1" ht="15">
      <c r="A131" s="200">
        <v>284</v>
      </c>
      <c r="B131" s="201" t="s">
        <v>65</v>
      </c>
      <c r="C131" s="202" t="s">
        <v>162</v>
      </c>
    </row>
    <row r="132" spans="1:3" s="199" customFormat="1" ht="15">
      <c r="A132" s="200">
        <v>285</v>
      </c>
      <c r="B132" s="201" t="s">
        <v>118</v>
      </c>
      <c r="C132" s="202" t="s">
        <v>221</v>
      </c>
    </row>
    <row r="133" spans="1:3" s="199" customFormat="1" ht="15">
      <c r="A133" s="200">
        <v>286</v>
      </c>
      <c r="B133" s="201" t="s">
        <v>119</v>
      </c>
      <c r="C133" s="202" t="s">
        <v>222</v>
      </c>
    </row>
    <row r="134" spans="1:3" s="199" customFormat="1" ht="15">
      <c r="A134" s="200">
        <v>287</v>
      </c>
      <c r="B134" s="201" t="s">
        <v>69</v>
      </c>
      <c r="C134" s="202" t="s">
        <v>161</v>
      </c>
    </row>
    <row r="135" spans="1:3" s="199" customFormat="1" ht="15">
      <c r="A135" s="203">
        <v>288</v>
      </c>
      <c r="B135" s="208" t="s">
        <v>120</v>
      </c>
      <c r="C135" s="209" t="s">
        <v>223</v>
      </c>
    </row>
    <row r="136" spans="1:3" s="199" customFormat="1" ht="15">
      <c r="A136" s="200">
        <v>289</v>
      </c>
      <c r="B136" s="201" t="s">
        <v>298</v>
      </c>
      <c r="C136" s="202" t="s">
        <v>268</v>
      </c>
    </row>
    <row r="137" spans="1:3" s="199" customFormat="1" ht="15">
      <c r="A137" s="200">
        <v>290</v>
      </c>
      <c r="B137" s="201" t="s">
        <v>299</v>
      </c>
      <c r="C137" s="202" t="s">
        <v>269</v>
      </c>
    </row>
    <row r="138" spans="1:3" s="199" customFormat="1" ht="15.75" thickBot="1">
      <c r="A138" s="330">
        <v>291</v>
      </c>
      <c r="B138" s="363" t="s">
        <v>364</v>
      </c>
      <c r="C138" s="331" t="s">
        <v>365</v>
      </c>
    </row>
    <row r="139" spans="1:3" s="199" customFormat="1" ht="15">
      <c r="A139" s="196">
        <v>300</v>
      </c>
      <c r="B139" s="210" t="s">
        <v>91</v>
      </c>
      <c r="C139" s="198" t="s">
        <v>156</v>
      </c>
    </row>
    <row r="140" spans="1:3" s="199" customFormat="1" ht="15">
      <c r="A140" s="200">
        <v>301</v>
      </c>
      <c r="B140" s="211" t="s">
        <v>105</v>
      </c>
      <c r="C140" s="202" t="s">
        <v>167</v>
      </c>
    </row>
    <row r="141" spans="1:3" s="199" customFormat="1" ht="15">
      <c r="A141" s="200">
        <v>302</v>
      </c>
      <c r="B141" s="211" t="s">
        <v>72</v>
      </c>
      <c r="C141" s="202" t="s">
        <v>212</v>
      </c>
    </row>
    <row r="142" spans="1:3" s="199" customFormat="1" ht="15">
      <c r="A142" s="200">
        <v>310</v>
      </c>
      <c r="B142" s="211" t="s">
        <v>71</v>
      </c>
      <c r="C142" s="202" t="s">
        <v>150</v>
      </c>
    </row>
    <row r="143" spans="1:3" s="199" customFormat="1" ht="15">
      <c r="A143" s="200">
        <v>311</v>
      </c>
      <c r="B143" s="211" t="s">
        <v>0</v>
      </c>
      <c r="C143" s="202" t="s">
        <v>157</v>
      </c>
    </row>
    <row r="144" spans="1:3" s="199" customFormat="1" ht="15">
      <c r="A144" s="200">
        <v>312</v>
      </c>
      <c r="B144" s="211" t="s">
        <v>90</v>
      </c>
      <c r="C144" s="202" t="s">
        <v>168</v>
      </c>
    </row>
    <row r="145" spans="1:3" s="199" customFormat="1" ht="15">
      <c r="A145" s="200">
        <v>313</v>
      </c>
      <c r="B145" s="211" t="s">
        <v>89</v>
      </c>
      <c r="C145" s="202" t="s">
        <v>154</v>
      </c>
    </row>
    <row r="146" spans="1:3" s="199" customFormat="1" ht="15">
      <c r="A146" s="200">
        <v>314</v>
      </c>
      <c r="B146" s="211" t="s">
        <v>78</v>
      </c>
      <c r="C146" s="202" t="s">
        <v>182</v>
      </c>
    </row>
    <row r="147" spans="1:3" s="199" customFormat="1" ht="15">
      <c r="A147" s="200">
        <v>315</v>
      </c>
      <c r="B147" s="211" t="s">
        <v>79</v>
      </c>
      <c r="C147" s="202" t="s">
        <v>183</v>
      </c>
    </row>
    <row r="148" spans="1:3" s="199" customFormat="1" ht="15">
      <c r="A148" s="200">
        <v>316</v>
      </c>
      <c r="B148" s="211" t="s">
        <v>80</v>
      </c>
      <c r="C148" s="202" t="s">
        <v>148</v>
      </c>
    </row>
    <row r="149" spans="1:3" s="199" customFormat="1" ht="15">
      <c r="A149" s="200">
        <v>317</v>
      </c>
      <c r="B149" s="211" t="s">
        <v>81</v>
      </c>
      <c r="C149" s="202" t="s">
        <v>149</v>
      </c>
    </row>
    <row r="150" spans="1:3" s="199" customFormat="1" ht="15">
      <c r="A150" s="200">
        <v>318</v>
      </c>
      <c r="B150" s="211" t="s">
        <v>82</v>
      </c>
      <c r="C150" s="202" t="s">
        <v>210</v>
      </c>
    </row>
    <row r="151" spans="1:3" s="199" customFormat="1" ht="15">
      <c r="A151" s="200">
        <v>319</v>
      </c>
      <c r="B151" s="211" t="s">
        <v>83</v>
      </c>
      <c r="C151" s="202" t="s">
        <v>169</v>
      </c>
    </row>
    <row r="152" spans="1:3" s="199" customFormat="1" ht="15">
      <c r="A152" s="200">
        <v>320</v>
      </c>
      <c r="B152" s="211" t="s">
        <v>54</v>
      </c>
      <c r="C152" s="202" t="s">
        <v>167</v>
      </c>
    </row>
    <row r="153" spans="1:3" s="199" customFormat="1" ht="15">
      <c r="A153" s="200">
        <v>321</v>
      </c>
      <c r="B153" s="211" t="s">
        <v>84</v>
      </c>
      <c r="C153" s="202" t="s">
        <v>211</v>
      </c>
    </row>
    <row r="154" spans="1:3" s="199" customFormat="1" ht="15">
      <c r="A154" s="200">
        <v>322</v>
      </c>
      <c r="B154" s="211" t="s">
        <v>85</v>
      </c>
      <c r="C154" s="202" t="s">
        <v>181</v>
      </c>
    </row>
    <row r="155" spans="1:3" s="199" customFormat="1" ht="15">
      <c r="A155" s="200">
        <v>323</v>
      </c>
      <c r="B155" s="211" t="s">
        <v>53</v>
      </c>
      <c r="C155" s="202" t="s">
        <v>205</v>
      </c>
    </row>
    <row r="156" spans="1:3" s="199" customFormat="1" ht="15">
      <c r="A156" s="200">
        <v>324</v>
      </c>
      <c r="B156" s="211" t="s">
        <v>57</v>
      </c>
      <c r="C156" s="202" t="s">
        <v>170</v>
      </c>
    </row>
    <row r="157" spans="1:3" s="199" customFormat="1" ht="15">
      <c r="A157" s="200">
        <v>325</v>
      </c>
      <c r="B157" s="211" t="s">
        <v>73</v>
      </c>
      <c r="C157" s="202" t="s">
        <v>171</v>
      </c>
    </row>
    <row r="158" spans="1:3" s="199" customFormat="1" ht="15">
      <c r="A158" s="200">
        <v>326</v>
      </c>
      <c r="B158" s="211" t="s">
        <v>74</v>
      </c>
      <c r="C158" s="202" t="s">
        <v>163</v>
      </c>
    </row>
    <row r="159" spans="1:3" s="199" customFormat="1" ht="15">
      <c r="A159" s="200">
        <v>330</v>
      </c>
      <c r="B159" s="211" t="s">
        <v>75</v>
      </c>
      <c r="C159" s="202" t="s">
        <v>33</v>
      </c>
    </row>
    <row r="160" spans="1:3" s="199" customFormat="1" ht="15">
      <c r="A160" s="200">
        <v>331</v>
      </c>
      <c r="B160" s="201" t="s">
        <v>76</v>
      </c>
      <c r="C160" s="202" t="s">
        <v>172</v>
      </c>
    </row>
    <row r="161" spans="1:3" s="199" customFormat="1" ht="15">
      <c r="A161" s="200">
        <v>332</v>
      </c>
      <c r="B161" s="201" t="s">
        <v>77</v>
      </c>
      <c r="C161" s="202" t="s">
        <v>163</v>
      </c>
    </row>
    <row r="162" spans="1:3" s="199" customFormat="1" ht="15">
      <c r="A162" s="200">
        <v>340</v>
      </c>
      <c r="B162" s="201" t="s">
        <v>70</v>
      </c>
      <c r="C162" s="202" t="s">
        <v>173</v>
      </c>
    </row>
    <row r="163" spans="1:3" s="199" customFormat="1" ht="15">
      <c r="A163" s="200">
        <v>341</v>
      </c>
      <c r="B163" s="201" t="s">
        <v>65</v>
      </c>
      <c r="C163" s="202" t="s">
        <v>162</v>
      </c>
    </row>
    <row r="164" spans="1:3" s="199" customFormat="1" ht="15">
      <c r="A164" s="200">
        <v>342</v>
      </c>
      <c r="B164" s="201" t="s">
        <v>66</v>
      </c>
      <c r="C164" s="202" t="s">
        <v>152</v>
      </c>
    </row>
    <row r="165" spans="1:3" s="199" customFormat="1" ht="15">
      <c r="A165" s="200">
        <v>343</v>
      </c>
      <c r="B165" s="201" t="s">
        <v>39</v>
      </c>
      <c r="C165" s="202" t="s">
        <v>161</v>
      </c>
    </row>
    <row r="166" spans="1:3" s="199" customFormat="1" ht="15">
      <c r="A166" s="200">
        <v>344</v>
      </c>
      <c r="B166" s="201" t="s">
        <v>40</v>
      </c>
      <c r="C166" s="202" t="s">
        <v>140</v>
      </c>
    </row>
    <row r="167" spans="1:3" s="199" customFormat="1" ht="15">
      <c r="A167" s="200">
        <v>345</v>
      </c>
      <c r="B167" s="201" t="s">
        <v>42</v>
      </c>
      <c r="C167" s="202" t="s">
        <v>141</v>
      </c>
    </row>
    <row r="168" spans="1:3" s="199" customFormat="1" ht="15">
      <c r="A168" s="200">
        <v>350</v>
      </c>
      <c r="B168" s="211" t="s">
        <v>71</v>
      </c>
      <c r="C168" s="202" t="s">
        <v>150</v>
      </c>
    </row>
    <row r="169" spans="1:3" s="199" customFormat="1" ht="15">
      <c r="A169" s="200">
        <v>351</v>
      </c>
      <c r="B169" s="211" t="s">
        <v>32</v>
      </c>
      <c r="C169" s="202" t="s">
        <v>164</v>
      </c>
    </row>
    <row r="170" spans="1:3" s="199" customFormat="1" ht="15">
      <c r="A170" s="200">
        <v>352</v>
      </c>
      <c r="B170" s="211" t="s">
        <v>30</v>
      </c>
      <c r="C170" s="202" t="s">
        <v>137</v>
      </c>
    </row>
    <row r="171" spans="1:3" s="199" customFormat="1" ht="15">
      <c r="A171" s="200">
        <v>353</v>
      </c>
      <c r="B171" s="211" t="s">
        <v>31</v>
      </c>
      <c r="C171" s="202" t="s">
        <v>192</v>
      </c>
    </row>
    <row r="172" spans="1:3" s="199" customFormat="1" ht="15">
      <c r="A172" s="200">
        <v>354</v>
      </c>
      <c r="B172" s="211" t="s">
        <v>67</v>
      </c>
      <c r="C172" s="202" t="s">
        <v>165</v>
      </c>
    </row>
    <row r="173" spans="1:3" s="199" customFormat="1" ht="15">
      <c r="A173" s="200">
        <v>355</v>
      </c>
      <c r="B173" s="211" t="s">
        <v>5</v>
      </c>
      <c r="C173" s="202" t="s">
        <v>136</v>
      </c>
    </row>
    <row r="174" spans="1:3" s="199" customFormat="1" ht="15">
      <c r="A174" s="200">
        <v>356</v>
      </c>
      <c r="B174" s="201" t="s">
        <v>284</v>
      </c>
      <c r="C174" s="202" t="s">
        <v>286</v>
      </c>
    </row>
    <row r="175" spans="1:3" s="199" customFormat="1" ht="15">
      <c r="A175" s="200">
        <v>357</v>
      </c>
      <c r="B175" s="201" t="s">
        <v>285</v>
      </c>
      <c r="C175" s="202" t="s">
        <v>287</v>
      </c>
    </row>
    <row r="176" spans="1:3" s="199" customFormat="1" ht="15">
      <c r="A176" s="200">
        <v>358</v>
      </c>
      <c r="B176" s="211" t="s">
        <v>33</v>
      </c>
      <c r="C176" s="202" t="s">
        <v>33</v>
      </c>
    </row>
    <row r="177" spans="1:3" s="199" customFormat="1" ht="15">
      <c r="A177" s="200">
        <v>359</v>
      </c>
      <c r="B177" s="211" t="s">
        <v>358</v>
      </c>
      <c r="C177" s="202" t="s">
        <v>359</v>
      </c>
    </row>
    <row r="178" spans="1:3" s="199" customFormat="1" ht="15">
      <c r="A178" s="200">
        <v>360</v>
      </c>
      <c r="B178" s="211" t="s">
        <v>248</v>
      </c>
      <c r="C178" s="202" t="s">
        <v>229</v>
      </c>
    </row>
    <row r="179" spans="1:3" s="199" customFormat="1" ht="15">
      <c r="A179" s="200">
        <v>361</v>
      </c>
      <c r="B179" s="211" t="s">
        <v>87</v>
      </c>
      <c r="C179" s="202" t="s">
        <v>157</v>
      </c>
    </row>
    <row r="180" spans="1:3" s="199" customFormat="1" ht="15">
      <c r="A180" s="200">
        <v>362</v>
      </c>
      <c r="B180" s="211" t="s">
        <v>61</v>
      </c>
      <c r="C180" s="202" t="s">
        <v>369</v>
      </c>
    </row>
    <row r="181" spans="1:3" s="199" customFormat="1" ht="15">
      <c r="A181" s="200">
        <v>363</v>
      </c>
      <c r="B181" s="211" t="s">
        <v>62</v>
      </c>
      <c r="C181" s="202" t="s">
        <v>183</v>
      </c>
    </row>
    <row r="182" spans="1:3" s="199" customFormat="1" ht="15">
      <c r="A182" s="200">
        <v>364</v>
      </c>
      <c r="B182" s="211" t="s">
        <v>63</v>
      </c>
      <c r="C182" s="202" t="s">
        <v>148</v>
      </c>
    </row>
    <row r="183" spans="1:3" s="199" customFormat="1" ht="15">
      <c r="A183" s="200">
        <v>365</v>
      </c>
      <c r="B183" s="201" t="s">
        <v>86</v>
      </c>
      <c r="C183" s="202" t="s">
        <v>166</v>
      </c>
    </row>
    <row r="184" spans="1:3" s="199" customFormat="1" ht="15">
      <c r="A184" s="200">
        <v>366</v>
      </c>
      <c r="B184" s="211" t="s">
        <v>249</v>
      </c>
      <c r="C184" s="202" t="s">
        <v>206</v>
      </c>
    </row>
    <row r="185" spans="1:3" s="199" customFormat="1" ht="15">
      <c r="A185" s="200">
        <v>370</v>
      </c>
      <c r="B185" s="201" t="s">
        <v>75</v>
      </c>
      <c r="C185" s="202" t="s">
        <v>33</v>
      </c>
    </row>
    <row r="186" spans="1:3" s="199" customFormat="1" ht="15">
      <c r="A186" s="200">
        <v>371</v>
      </c>
      <c r="B186" s="201" t="s">
        <v>76</v>
      </c>
      <c r="C186" s="202" t="s">
        <v>172</v>
      </c>
    </row>
    <row r="187" spans="1:3" s="199" customFormat="1" ht="15.75" thickBot="1">
      <c r="A187" s="204">
        <v>372</v>
      </c>
      <c r="B187" s="205" t="s">
        <v>77</v>
      </c>
      <c r="C187" s="206" t="s">
        <v>163</v>
      </c>
    </row>
    <row r="188" spans="1:3" ht="28.5">
      <c r="A188" s="196">
        <v>400</v>
      </c>
      <c r="B188" s="212" t="s">
        <v>130</v>
      </c>
      <c r="C188" s="213" t="s">
        <v>174</v>
      </c>
    </row>
    <row r="189" spans="1:3" ht="28.5">
      <c r="A189" s="200">
        <v>401</v>
      </c>
      <c r="B189" s="214" t="s">
        <v>124</v>
      </c>
      <c r="C189" s="215" t="s">
        <v>288</v>
      </c>
    </row>
    <row r="190" spans="1:3" ht="128.25">
      <c r="A190" s="200">
        <v>402</v>
      </c>
      <c r="B190" s="214" t="s">
        <v>366</v>
      </c>
      <c r="C190" s="215" t="s">
        <v>367</v>
      </c>
    </row>
    <row r="191" spans="1:3" ht="42.75">
      <c r="A191" s="200">
        <v>403</v>
      </c>
      <c r="B191" s="214" t="s">
        <v>300</v>
      </c>
      <c r="C191" s="215" t="s">
        <v>301</v>
      </c>
    </row>
    <row r="192" spans="1:3" ht="28.5">
      <c r="A192" s="200">
        <v>404</v>
      </c>
      <c r="B192" s="214" t="s">
        <v>126</v>
      </c>
      <c r="C192" s="215" t="s">
        <v>187</v>
      </c>
    </row>
    <row r="193" spans="1:3" ht="28.5">
      <c r="A193" s="200">
        <v>405</v>
      </c>
      <c r="B193" s="214" t="s">
        <v>127</v>
      </c>
      <c r="C193" s="215" t="s">
        <v>185</v>
      </c>
    </row>
    <row r="194" spans="1:3" ht="42.75">
      <c r="A194" s="200">
        <v>406</v>
      </c>
      <c r="B194" s="214" t="s">
        <v>131</v>
      </c>
      <c r="C194" s="215" t="s">
        <v>184</v>
      </c>
    </row>
    <row r="195" spans="1:3" ht="28.5">
      <c r="A195" s="200">
        <v>407</v>
      </c>
      <c r="B195" s="214" t="s">
        <v>128</v>
      </c>
      <c r="C195" s="215" t="s">
        <v>188</v>
      </c>
    </row>
    <row r="196" spans="1:3" ht="71.25">
      <c r="A196" s="200">
        <v>408</v>
      </c>
      <c r="B196" s="214" t="s">
        <v>307</v>
      </c>
      <c r="C196" s="215" t="s">
        <v>308</v>
      </c>
    </row>
    <row r="197" spans="1:3" ht="29.25" thickBot="1">
      <c r="A197" s="204">
        <v>409</v>
      </c>
      <c r="B197" s="216" t="s">
        <v>129</v>
      </c>
      <c r="C197" s="217" t="s">
        <v>186</v>
      </c>
    </row>
  </sheetData>
  <sheetProtection password="83EF" sheet="1" objects="1" scenarios="1"/>
  <printOptions/>
  <pageMargins left="0.3937007874015748" right="0.3937007874015748" top="0.5905511811023623" bottom="0.3937007874015748" header="0.5118110236220472" footer="0.31496062992125984"/>
  <pageSetup fitToHeight="3" fitToWidth="1" horizontalDpi="600" verticalDpi="600" orientation="portrait" paperSize="9" scale="84" r:id="rId2"/>
  <headerFooter alignWithMargins="0">
    <oddFooter>&amp;C&amp;A&amp;RPage &amp;P</oddFooter>
  </headerFooter>
  <drawing r:id="rId1"/>
</worksheet>
</file>

<file path=xl/worksheets/sheet18.xml><?xml version="1.0" encoding="utf-8"?>
<worksheet xmlns="http://schemas.openxmlformats.org/spreadsheetml/2006/main" xmlns:r="http://schemas.openxmlformats.org/officeDocument/2006/relationships">
  <sheetPr codeName="Sheet3"/>
  <dimension ref="B1:E45"/>
  <sheetViews>
    <sheetView zoomScalePageLayoutView="0" workbookViewId="0" topLeftCell="A1">
      <selection activeCell="B25" sqref="B25"/>
    </sheetView>
  </sheetViews>
  <sheetFormatPr defaultColWidth="8.8515625" defaultRowHeight="12.75"/>
  <cols>
    <col min="1" max="1" width="8.8515625" style="0" customWidth="1"/>
    <col min="2" max="2" width="21.8515625" style="0" bestFit="1" customWidth="1"/>
    <col min="3" max="3" width="84.7109375" style="0" customWidth="1"/>
    <col min="4" max="5" width="42.7109375" style="0" bestFit="1" customWidth="1"/>
  </cols>
  <sheetData>
    <row r="1" spans="2:5" s="227" customFormat="1" ht="18.75" thickBot="1">
      <c r="B1" s="574" t="s">
        <v>233</v>
      </c>
      <c r="C1" s="575"/>
      <c r="D1" s="575"/>
      <c r="E1" s="576"/>
    </row>
    <row r="3" spans="2:5" ht="16.5" thickBot="1">
      <c r="B3" s="226" t="s">
        <v>235</v>
      </c>
      <c r="C3" s="1"/>
      <c r="D3" s="4"/>
      <c r="E3" s="4"/>
    </row>
    <row r="4" spans="2:4" ht="15.75" thickBot="1">
      <c r="B4" s="233" t="s">
        <v>236</v>
      </c>
      <c r="C4" s="1"/>
      <c r="D4" s="4"/>
    </row>
    <row r="5" spans="2:5" ht="15">
      <c r="B5" s="311" t="s">
        <v>228</v>
      </c>
      <c r="C5" s="1"/>
      <c r="D5" s="4"/>
      <c r="E5" s="4"/>
    </row>
    <row r="6" spans="2:5" ht="15.75" thickBot="1">
      <c r="B6" s="312" t="s">
        <v>234</v>
      </c>
      <c r="C6" s="1"/>
      <c r="D6" s="4"/>
      <c r="E6" s="174"/>
    </row>
    <row r="7" spans="2:5" ht="14.25">
      <c r="B7" s="174"/>
      <c r="C7" s="174"/>
      <c r="D7" s="174"/>
      <c r="E7" s="174"/>
    </row>
    <row r="8" spans="2:5" ht="16.5" thickBot="1">
      <c r="B8" s="226" t="s">
        <v>237</v>
      </c>
      <c r="C8" s="174"/>
      <c r="D8" s="174"/>
      <c r="E8" s="174"/>
    </row>
    <row r="9" spans="2:4" ht="16.5" thickBot="1">
      <c r="B9" s="233" t="s">
        <v>236</v>
      </c>
      <c r="C9" s="235" t="s">
        <v>96</v>
      </c>
      <c r="D9" s="232" t="s">
        <v>98</v>
      </c>
    </row>
    <row r="10" spans="2:5" ht="15">
      <c r="B10" s="338" t="str">
        <f>IF(DB_Langue=2,C10,D10)</f>
        <v>JA</v>
      </c>
      <c r="C10" s="240" t="s">
        <v>240</v>
      </c>
      <c r="D10" s="241" t="s">
        <v>242</v>
      </c>
      <c r="E10" s="174"/>
    </row>
    <row r="11" spans="2:5" ht="15">
      <c r="B11" s="301" t="str">
        <f>IF(DB_Langue=2,C11,D11)</f>
        <v>NEIN</v>
      </c>
      <c r="C11" s="325" t="s">
        <v>241</v>
      </c>
      <c r="D11" s="326" t="s">
        <v>243</v>
      </c>
      <c r="E11" s="174"/>
    </row>
    <row r="12" spans="2:5" ht="15.75" thickBot="1">
      <c r="B12" s="310" t="str">
        <f>IF(DB_Langue=2,C12,D12)</f>
        <v>nur ausserhalb Blockwochen</v>
      </c>
      <c r="C12" s="242" t="s">
        <v>334</v>
      </c>
      <c r="D12" s="243" t="s">
        <v>335</v>
      </c>
      <c r="E12" s="174"/>
    </row>
    <row r="14" spans="2:5" ht="16.5" thickBot="1">
      <c r="B14" s="577" t="s">
        <v>291</v>
      </c>
      <c r="C14" s="577"/>
      <c r="D14" s="174"/>
      <c r="E14" s="174"/>
    </row>
    <row r="15" spans="2:5" ht="16.5" thickBot="1">
      <c r="B15" s="233" t="s">
        <v>292</v>
      </c>
      <c r="C15" s="233" t="s">
        <v>236</v>
      </c>
      <c r="D15" s="235" t="s">
        <v>96</v>
      </c>
      <c r="E15" s="232" t="s">
        <v>98</v>
      </c>
    </row>
    <row r="16" spans="2:5" ht="14.25" customHeight="1">
      <c r="B16" s="301" t="str">
        <f>IF(DB_Langue=2,D16,E16)</f>
        <v>Effektiver Naturallohn</v>
      </c>
      <c r="C16" s="301">
        <v>0</v>
      </c>
      <c r="D16" s="240" t="s">
        <v>83</v>
      </c>
      <c r="E16" s="241" t="s">
        <v>169</v>
      </c>
    </row>
    <row r="17" spans="2:5" ht="15" customHeight="1" thickBot="1">
      <c r="B17" s="302" t="str">
        <f>IF(DB_Langue=2,D17,E17)</f>
        <v>Monatlicher Naturallohn</v>
      </c>
      <c r="C17" s="302">
        <v>1</v>
      </c>
      <c r="D17" s="242" t="s">
        <v>296</v>
      </c>
      <c r="E17" s="243" t="s">
        <v>303</v>
      </c>
    </row>
    <row r="19" spans="2:3" ht="16.5" thickBot="1">
      <c r="B19" s="577" t="s">
        <v>239</v>
      </c>
      <c r="C19" s="577"/>
    </row>
    <row r="20" spans="2:5" ht="16.5" thickBot="1">
      <c r="B20" s="231" t="s">
        <v>236</v>
      </c>
      <c r="C20" s="236" t="s">
        <v>238</v>
      </c>
      <c r="D20" s="235" t="s">
        <v>96</v>
      </c>
      <c r="E20" s="232" t="s">
        <v>98</v>
      </c>
    </row>
    <row r="21" spans="2:5" s="229" customFormat="1" ht="18">
      <c r="B21" s="303">
        <v>1</v>
      </c>
      <c r="C21" s="237" t="str">
        <f>IF(DB_Langue=2,D21,E21)</f>
        <v>1. Lehrjahr</v>
      </c>
      <c r="D21" s="244" t="s">
        <v>230</v>
      </c>
      <c r="E21" s="245" t="s">
        <v>245</v>
      </c>
    </row>
    <row r="22" spans="2:5" s="171" customFormat="1" ht="15">
      <c r="B22" s="304" t="s">
        <v>343</v>
      </c>
      <c r="C22" s="238" t="str">
        <f>IF(DB_Langue=2,D22,E22)</f>
        <v>2. Lehrjahr</v>
      </c>
      <c r="D22" s="246" t="s">
        <v>231</v>
      </c>
      <c r="E22" s="247" t="s">
        <v>246</v>
      </c>
    </row>
    <row r="23" spans="2:5" ht="15">
      <c r="B23" s="304" t="s">
        <v>344</v>
      </c>
      <c r="C23" s="238" t="str">
        <f>IF(DB_Langue=2,D23,E23)</f>
        <v>2. Lehrjahr (8 Tagen ük)</v>
      </c>
      <c r="D23" s="246" t="s">
        <v>345</v>
      </c>
      <c r="E23" s="247" t="s">
        <v>346</v>
      </c>
    </row>
    <row r="24" spans="2:5" ht="15.75" thickBot="1">
      <c r="B24" s="305">
        <v>3</v>
      </c>
      <c r="C24" s="239" t="str">
        <f>IF(DB_Langue=2,D24,E24)</f>
        <v>3. Lehrjahr (ganzes Jahr)</v>
      </c>
      <c r="D24" s="248" t="s">
        <v>232</v>
      </c>
      <c r="E24" s="249" t="s">
        <v>247</v>
      </c>
    </row>
    <row r="27" spans="2:3" ht="16.5" thickBot="1">
      <c r="B27" s="577" t="s">
        <v>252</v>
      </c>
      <c r="C27" s="577"/>
    </row>
    <row r="28" spans="2:5" ht="16.5" thickBot="1">
      <c r="B28" s="231" t="s">
        <v>236</v>
      </c>
      <c r="C28" s="236" t="s">
        <v>238</v>
      </c>
      <c r="D28" s="235" t="s">
        <v>96</v>
      </c>
      <c r="E28" s="232" t="s">
        <v>98</v>
      </c>
    </row>
    <row r="29" spans="2:5" ht="15">
      <c r="B29" s="303" t="s">
        <v>109</v>
      </c>
      <c r="C29" s="237" t="str">
        <f aca="true" t="shared" si="0" ref="C29:C36">IF(DB_Langue=2,D29,E29)</f>
        <v>Arbeitstag</v>
      </c>
      <c r="D29" s="244" t="s">
        <v>32</v>
      </c>
      <c r="E29" s="245" t="s">
        <v>258</v>
      </c>
    </row>
    <row r="30" spans="2:5" ht="15">
      <c r="B30" s="306" t="s">
        <v>111</v>
      </c>
      <c r="C30" s="238" t="str">
        <f t="shared" si="0"/>
        <v>Schultag</v>
      </c>
      <c r="D30" s="264" t="s">
        <v>253</v>
      </c>
      <c r="E30" s="265" t="s">
        <v>259</v>
      </c>
    </row>
    <row r="31" spans="2:5" ht="15">
      <c r="B31" s="306" t="s">
        <v>35</v>
      </c>
      <c r="C31" s="238" t="str">
        <f t="shared" si="0"/>
        <v>üK</v>
      </c>
      <c r="D31" s="264" t="s">
        <v>254</v>
      </c>
      <c r="E31" s="265" t="s">
        <v>192</v>
      </c>
    </row>
    <row r="32" spans="2:5" ht="15">
      <c r="B32" s="304" t="s">
        <v>110</v>
      </c>
      <c r="C32" s="238" t="str">
        <f t="shared" si="0"/>
        <v>Freitag</v>
      </c>
      <c r="D32" s="246" t="s">
        <v>255</v>
      </c>
      <c r="E32" s="247" t="s">
        <v>260</v>
      </c>
    </row>
    <row r="33" spans="2:5" ht="15">
      <c r="B33" s="304" t="s">
        <v>112</v>
      </c>
      <c r="C33" s="238" t="str">
        <f t="shared" si="0"/>
        <v>Ferien</v>
      </c>
      <c r="D33" s="246" t="s">
        <v>5</v>
      </c>
      <c r="E33" s="247" t="s">
        <v>136</v>
      </c>
    </row>
    <row r="34" spans="2:5" ht="15">
      <c r="B34" s="307" t="s">
        <v>125</v>
      </c>
      <c r="C34" s="293" t="str">
        <f t="shared" si="0"/>
        <v>halbe (Arbeitstag/Freitag):</v>
      </c>
      <c r="D34" s="294" t="s">
        <v>342</v>
      </c>
      <c r="E34" s="295" t="s">
        <v>261</v>
      </c>
    </row>
    <row r="35" spans="2:5" ht="15">
      <c r="B35" s="307" t="s">
        <v>289</v>
      </c>
      <c r="C35" s="293" t="str">
        <f t="shared" si="0"/>
        <v>Unfall</v>
      </c>
      <c r="D35" s="294" t="s">
        <v>284</v>
      </c>
      <c r="E35" s="295" t="s">
        <v>286</v>
      </c>
    </row>
    <row r="36" spans="2:5" ht="15">
      <c r="B36" s="307" t="s">
        <v>290</v>
      </c>
      <c r="C36" s="293" t="str">
        <f t="shared" si="0"/>
        <v>Krankheit</v>
      </c>
      <c r="D36" s="294" t="s">
        <v>285</v>
      </c>
      <c r="E36" s="295" t="s">
        <v>287</v>
      </c>
    </row>
    <row r="37" spans="2:5" ht="15.75" thickBot="1">
      <c r="B37" s="305" t="s">
        <v>340</v>
      </c>
      <c r="C37" s="239" t="s">
        <v>358</v>
      </c>
      <c r="D37" s="248" t="s">
        <v>358</v>
      </c>
      <c r="E37" s="249" t="s">
        <v>359</v>
      </c>
    </row>
    <row r="40" spans="2:3" ht="16.5" thickBot="1">
      <c r="B40" s="266" t="s">
        <v>262</v>
      </c>
      <c r="C40" s="267"/>
    </row>
    <row r="41" ht="15.75" thickBot="1">
      <c r="B41" s="233" t="s">
        <v>236</v>
      </c>
    </row>
    <row r="42" ht="15">
      <c r="B42" s="308" t="s">
        <v>263</v>
      </c>
    </row>
    <row r="43" ht="12.75">
      <c r="B43" s="309">
        <v>-0.5</v>
      </c>
    </row>
    <row r="44" ht="12.75">
      <c r="B44" s="309">
        <v>0.5</v>
      </c>
    </row>
    <row r="45" ht="15.75" thickBot="1">
      <c r="B45" s="310" t="s">
        <v>250</v>
      </c>
    </row>
  </sheetData>
  <sheetProtection password="83EF" sheet="1" objects="1" scenarios="1"/>
  <mergeCells count="4">
    <mergeCell ref="B1:E1"/>
    <mergeCell ref="B19:C19"/>
    <mergeCell ref="B27:C27"/>
    <mergeCell ref="B14:C14"/>
  </mergeCells>
  <printOptions/>
  <pageMargins left="0.787401575" right="0.787401575" top="0.984251969" bottom="0.984251969"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O160"/>
  <sheetViews>
    <sheetView tabSelected="1" zoomScalePageLayoutView="0" workbookViewId="0" topLeftCell="B1">
      <selection activeCell="H10" sqref="H10"/>
    </sheetView>
  </sheetViews>
  <sheetFormatPr defaultColWidth="9.140625" defaultRowHeight="12.75"/>
  <cols>
    <col min="1" max="1" width="4.421875" style="7" hidden="1" customWidth="1"/>
    <col min="2" max="2" width="52.00390625" style="183" customWidth="1"/>
    <col min="3" max="3" width="18.7109375" style="7" customWidth="1"/>
    <col min="4" max="4" width="9.7109375" style="251" customWidth="1"/>
    <col min="5" max="5" width="9.7109375" style="7" customWidth="1"/>
    <col min="6" max="6" width="11.28125" style="7" customWidth="1"/>
    <col min="7" max="7" width="5.140625" style="5" hidden="1" customWidth="1"/>
    <col min="8" max="8" width="58.7109375" style="1" customWidth="1"/>
    <col min="9" max="9" width="14.7109375" style="1" customWidth="1"/>
    <col min="10" max="11" width="14.7109375" style="4" customWidth="1"/>
    <col min="12" max="13" width="14.7109375" style="0" customWidth="1"/>
    <col min="14" max="16384" width="9.140625" style="7" customWidth="1"/>
  </cols>
  <sheetData>
    <row r="1" spans="1:13" s="280" customFormat="1" ht="15">
      <c r="A1" s="184">
        <v>100</v>
      </c>
      <c r="B1" s="183" t="str">
        <f>VLOOKUP(A1,Tb_Traduction,DB_Langue,FALSE)</f>
        <v>Sprache</v>
      </c>
      <c r="C1" s="153" t="s">
        <v>234</v>
      </c>
      <c r="D1" s="279" t="str">
        <f>VLOOKUP(A1+1,Tb_Traduction,DB_Langue,FALSE)</f>
        <v>D oder F</v>
      </c>
      <c r="E1" s="250">
        <f>IF(C1="F",2,3)</f>
        <v>3</v>
      </c>
      <c r="H1" s="382" t="s">
        <v>370</v>
      </c>
      <c r="I1" s="281"/>
      <c r="J1" s="282"/>
      <c r="K1" s="282"/>
      <c r="L1" s="283"/>
      <c r="M1" s="283"/>
    </row>
    <row r="3" spans="1:5" ht="15">
      <c r="A3" s="184">
        <v>110</v>
      </c>
      <c r="B3" s="183" t="str">
        <f>VLOOKUP(A3,Tb_Traduction,DB_Langue,FALSE)</f>
        <v>Name und Vorname Berufsbildnerin / Berufsbildner</v>
      </c>
      <c r="C3" s="460"/>
      <c r="D3" s="460"/>
      <c r="E3" s="460"/>
    </row>
    <row r="4" spans="1:5" ht="15">
      <c r="A4" s="184">
        <v>111</v>
      </c>
      <c r="B4" s="183" t="str">
        <f>VLOOKUP(A4,Tb_Traduction,DB_Langue,FALSE)</f>
        <v>Adresse</v>
      </c>
      <c r="C4" s="475"/>
      <c r="D4" s="475"/>
      <c r="E4" s="475"/>
    </row>
    <row r="5" spans="1:5" ht="15">
      <c r="A5" s="184">
        <v>112</v>
      </c>
      <c r="B5" s="183" t="str">
        <f>VLOOKUP(A5,Tb_Traduction,DB_Langue,FALSE)</f>
        <v>PLZ und Ort</v>
      </c>
      <c r="C5" s="460"/>
      <c r="D5" s="460"/>
      <c r="E5" s="460"/>
    </row>
    <row r="7" spans="1:5" ht="15">
      <c r="A7" s="184">
        <v>120</v>
      </c>
      <c r="B7" s="183" t="str">
        <f aca="true" t="shared" si="0" ref="B7:B13">VLOOKUP(A7,Tb_Traduction,DB_Langue,FALSE)</f>
        <v>Name und Vorname der / des Lernenden</v>
      </c>
      <c r="C7" s="460"/>
      <c r="D7" s="460"/>
      <c r="E7" s="460"/>
    </row>
    <row r="8" spans="1:5" ht="15">
      <c r="A8" s="184">
        <v>121</v>
      </c>
      <c r="B8" s="183" t="str">
        <f t="shared" si="0"/>
        <v>Adresse</v>
      </c>
      <c r="C8" s="475"/>
      <c r="D8" s="475"/>
      <c r="E8" s="475"/>
    </row>
    <row r="9" spans="1:5" ht="15">
      <c r="A9" s="184">
        <v>122</v>
      </c>
      <c r="B9" s="183" t="str">
        <f t="shared" si="0"/>
        <v>PLZ und Ort</v>
      </c>
      <c r="C9" s="460"/>
      <c r="D9" s="460"/>
      <c r="E9" s="460"/>
    </row>
    <row r="10" spans="1:5" ht="15">
      <c r="A10" s="184">
        <v>123</v>
      </c>
      <c r="B10" s="183" t="str">
        <f t="shared" si="0"/>
        <v>AHV-Nummer</v>
      </c>
      <c r="C10" s="460"/>
      <c r="D10" s="460"/>
      <c r="E10" s="460"/>
    </row>
    <row r="11" spans="1:13" ht="15">
      <c r="A11" s="184">
        <v>124</v>
      </c>
      <c r="B11" s="183" t="str">
        <f t="shared" si="0"/>
        <v>Geburtsdatum</v>
      </c>
      <c r="C11" s="153"/>
      <c r="D11" s="252"/>
      <c r="E11" s="252"/>
      <c r="G11" s="173"/>
      <c r="H11" s="173"/>
      <c r="I11" s="173"/>
      <c r="J11" s="173"/>
      <c r="K11" s="173"/>
      <c r="L11" s="171"/>
      <c r="M11" s="171"/>
    </row>
    <row r="12" spans="1:13" ht="15">
      <c r="A12" s="184">
        <v>125</v>
      </c>
      <c r="B12" s="183" t="str">
        <f t="shared" si="0"/>
        <v>AHV-Pflichtig seit</v>
      </c>
      <c r="C12" s="253">
        <f>DATE(YEAR(DB_DateNaissance)+18,1,1)</f>
        <v>6576</v>
      </c>
      <c r="D12" s="252"/>
      <c r="E12" s="252"/>
      <c r="F12" s="8"/>
      <c r="G12" s="174"/>
      <c r="H12" s="174"/>
      <c r="I12" s="174"/>
      <c r="J12" s="174"/>
      <c r="K12" s="174"/>
      <c r="L12" s="174"/>
      <c r="M12" s="174"/>
    </row>
    <row r="13" spans="1:13" ht="15">
      <c r="A13" s="184">
        <v>126</v>
      </c>
      <c r="B13" s="183" t="str">
        <f t="shared" si="0"/>
        <v>Extra-Urlaub bis zu 20 Jahren vorbei</v>
      </c>
      <c r="C13" s="369">
        <f>ROUND(5*IF(DB_DateNaissance&lt;DB_5Semaines,0,IF(DB_DateNaissance&gt;DB_5SemainesPlus,1,(DB_DateNaissance-DB_5Semaines)/(DB_5SemainesPlus-DB_5Semaines+1))),0)</f>
        <v>0</v>
      </c>
      <c r="D13" s="370">
        <f>DATE(DB_Annee-20,8,15)</f>
        <v>36387</v>
      </c>
      <c r="E13" s="370">
        <f>DATE(DB_Annee-19,8,15)</f>
        <v>36753</v>
      </c>
      <c r="G13" s="368">
        <v>15</v>
      </c>
      <c r="H13" s="371" t="str">
        <f>VLOOKUP(G13,Tb_Traduction,DB_Langue,FALSE)</f>
        <v>Kantonalen Standards in Bezug auf die Ferien sind hier verfügbar</v>
      </c>
      <c r="I13" s="481" t="s">
        <v>351</v>
      </c>
      <c r="J13" s="482"/>
      <c r="K13" s="482"/>
      <c r="L13" s="482"/>
      <c r="M13" s="482"/>
    </row>
    <row r="14" spans="1:3" ht="15">
      <c r="A14" s="184">
        <v>130</v>
      </c>
      <c r="B14" s="183" t="str">
        <f>VLOOKUP(A14,Tb_Traduction,DB_Langue,FALSE)</f>
        <v>Jahr</v>
      </c>
      <c r="C14" s="358">
        <v>2019</v>
      </c>
    </row>
    <row r="15" spans="1:13" s="299" customFormat="1" ht="15">
      <c r="A15" s="296">
        <v>131</v>
      </c>
      <c r="B15" s="297" t="str">
        <f>VLOOKUP(A15,Tb_Traduction,DB_Langue,FALSE)</f>
        <v>Lehrjahr</v>
      </c>
      <c r="C15" s="318">
        <f>IF(ISERR(D16+0),D16,D16+0)</f>
      </c>
      <c r="D15" s="472" t="e">
        <f>VLOOKUP(C15,DB_ListeAnneeApprentissage,2,FALSE)</f>
        <v>#N/A</v>
      </c>
      <c r="E15" s="473"/>
      <c r="F15" s="473"/>
      <c r="G15" s="473"/>
      <c r="H15" s="473"/>
      <c r="I15" s="320"/>
      <c r="J15" s="321"/>
      <c r="K15" s="321"/>
      <c r="L15" s="322"/>
      <c r="M15" s="322"/>
    </row>
    <row r="16" spans="1:13" ht="18">
      <c r="A16" s="184">
        <v>133</v>
      </c>
      <c r="B16" s="183" t="str">
        <f>VLOOKUP(A16,Tb_Traduction,DB_Langue,FALSE)</f>
        <v>Anzahl Monaten</v>
      </c>
      <c r="C16" s="220" t="e">
        <f>HLOOKUP(DB_AnneeApprentissage,DB_DonneesDeBase,12,FALSE)</f>
        <v>#N/A</v>
      </c>
      <c r="D16" s="319" t="s">
        <v>368</v>
      </c>
      <c r="E16" s="254"/>
      <c r="G16" s="228"/>
      <c r="H16" s="229"/>
      <c r="I16" s="229"/>
      <c r="J16" s="229"/>
      <c r="K16" s="229"/>
      <c r="L16" s="229"/>
      <c r="M16" s="229"/>
    </row>
    <row r="17" spans="2:13" ht="15">
      <c r="B17" s="7"/>
      <c r="G17" s="230"/>
      <c r="H17" s="171"/>
      <c r="I17" s="171"/>
      <c r="J17" s="171"/>
      <c r="K17" s="171"/>
      <c r="L17" s="171"/>
      <c r="M17" s="171"/>
    </row>
    <row r="18" spans="1:5" ht="15">
      <c r="A18" s="184">
        <v>140</v>
      </c>
      <c r="C18" s="466" t="str">
        <f>VLOOKUP(A18,Tb_Traduction,DB_Langue,FALSE)</f>
        <v>Lohndaten</v>
      </c>
      <c r="D18" s="466"/>
      <c r="E18" s="466"/>
    </row>
    <row r="19" spans="1:5" ht="15">
      <c r="A19" s="184">
        <v>141</v>
      </c>
      <c r="C19" s="255" t="str">
        <f>VLOOKUP(A19,Tb_Traduction,DB_Langue,FALSE)</f>
        <v>Netto </v>
      </c>
      <c r="D19" s="486" t="str">
        <f>VLOOKUP(A19+1,Tb_Traduction,DB_Langue,FALSE)</f>
        <v>Gerundet</v>
      </c>
      <c r="E19" s="487"/>
    </row>
    <row r="20" spans="1:5" ht="15">
      <c r="A20" s="184">
        <v>143</v>
      </c>
      <c r="B20" s="183" t="str">
        <f aca="true" t="shared" si="1" ref="B20:B28">VLOOKUP(A20,Tb_Traduction,DB_Langue,FALSE)</f>
        <v>Minimaler Jahreslohn:</v>
      </c>
      <c r="C20" s="255" t="e">
        <f>HLOOKUP(DB_AnneeApprentissage,DB_DonneesDeBase,2,FALSE)</f>
        <v>#N/A</v>
      </c>
      <c r="D20" s="463" t="e">
        <f>INT((20*C20)+0.5)/20</f>
        <v>#N/A</v>
      </c>
      <c r="E20" s="463"/>
    </row>
    <row r="21" spans="1:13" ht="15">
      <c r="A21" s="184">
        <v>144</v>
      </c>
      <c r="B21" s="183" t="str">
        <f t="shared" si="1"/>
        <v>Jahreslohn</v>
      </c>
      <c r="C21" s="162"/>
      <c r="D21" s="463">
        <f>INT((20*C21)+0.5)/20</f>
        <v>0</v>
      </c>
      <c r="E21" s="463"/>
      <c r="F21" s="484">
        <f>IF(Sa_BaseAnnuel="","",VLOOKUP(A21+5,Tb_Traduction,DB_Langue,FALSE))</f>
      </c>
      <c r="G21" s="485"/>
      <c r="H21" s="485"/>
      <c r="I21" s="485"/>
      <c r="J21" s="485"/>
      <c r="K21" s="485"/>
      <c r="L21" s="485"/>
      <c r="M21" s="485"/>
    </row>
    <row r="22" spans="1:13" ht="15.75" thickBot="1">
      <c r="A22" s="184">
        <v>145</v>
      </c>
      <c r="B22" s="183" t="str">
        <f t="shared" si="1"/>
        <v>Monatslohn</v>
      </c>
      <c r="C22" s="256" t="e">
        <f>Sa_BaseAnnuel/C16</f>
        <v>#N/A</v>
      </c>
      <c r="D22" s="463" t="e">
        <f>INT((20*C22)+0.5)/20</f>
        <v>#N/A</v>
      </c>
      <c r="E22" s="463"/>
      <c r="G22" s="367">
        <v>14</v>
      </c>
      <c r="H22" s="372"/>
      <c r="I22" s="488"/>
      <c r="J22" s="489"/>
      <c r="K22" s="489"/>
      <c r="L22" s="489"/>
      <c r="M22" s="482"/>
    </row>
    <row r="23" spans="1:13" s="299" customFormat="1" ht="18.75" thickBot="1">
      <c r="A23" s="296">
        <v>146</v>
      </c>
      <c r="B23" s="297" t="str">
        <f t="shared" si="1"/>
        <v>Naturallohn pro Jahr</v>
      </c>
      <c r="C23" s="298" t="e">
        <f>HLOOKUP(DB_AnneeApprentissage,DB_DonneesDeBase,3+PN_LogisOuiNon,FALSE)</f>
        <v>#N/A</v>
      </c>
      <c r="D23" s="483" t="e">
        <f>INT((20*C23)+0.5)/20</f>
        <v>#N/A</v>
      </c>
      <c r="E23" s="483"/>
      <c r="G23" s="346">
        <v>1</v>
      </c>
      <c r="H23" s="347" t="str">
        <f aca="true" t="shared" si="2" ref="H23:H32">VLOOKUP(G23,Tb_Traduction,DB_Langue,FALSE)</f>
        <v>Lohn und Tagesanzahl</v>
      </c>
      <c r="I23" s="332">
        <v>1</v>
      </c>
      <c r="J23" s="333" t="s">
        <v>343</v>
      </c>
      <c r="K23" s="333" t="s">
        <v>344</v>
      </c>
      <c r="L23" s="334">
        <v>3</v>
      </c>
      <c r="M23" s="374"/>
    </row>
    <row r="24" spans="1:13" ht="15">
      <c r="A24" s="184">
        <v>147</v>
      </c>
      <c r="B24" s="183" t="str">
        <f t="shared" si="1"/>
        <v>Naturallohn pro Monat</v>
      </c>
      <c r="C24" s="256" t="e">
        <f>Sa_NatureAnnuel/Nb_Mois</f>
        <v>#N/A</v>
      </c>
      <c r="D24" s="463" t="e">
        <f>INT((20*C24)+0.5)/20</f>
        <v>#N/A</v>
      </c>
      <c r="E24" s="463"/>
      <c r="G24" s="223">
        <v>2</v>
      </c>
      <c r="H24" s="353" t="str">
        <f t="shared" si="2"/>
        <v>Bruttolohn (minimum)</v>
      </c>
      <c r="I24" s="270">
        <v>13920</v>
      </c>
      <c r="J24" s="271">
        <v>15720</v>
      </c>
      <c r="K24" s="271">
        <v>15720</v>
      </c>
      <c r="L24" s="272">
        <v>13920</v>
      </c>
      <c r="M24" s="374"/>
    </row>
    <row r="25" spans="1:13" ht="15.75" thickBot="1">
      <c r="A25" s="184">
        <v>148</v>
      </c>
      <c r="B25" s="183" t="str">
        <f t="shared" si="1"/>
        <v>Durchschnittliche Monatslohn</v>
      </c>
      <c r="C25" s="323" t="e">
        <f>C22-C24</f>
        <v>#N/A</v>
      </c>
      <c r="D25" s="474" t="e">
        <f>D22-D24</f>
        <v>#N/A</v>
      </c>
      <c r="E25" s="474"/>
      <c r="G25" s="224">
        <v>3</v>
      </c>
      <c r="H25" s="354" t="str">
        <f t="shared" si="2"/>
        <v>Naturallohn pro Jahr (ohne Zimmer)</v>
      </c>
      <c r="I25" s="273">
        <f>I26-(I28*PN_Logis)</f>
        <v>5279</v>
      </c>
      <c r="J25" s="274">
        <f>J26-(J28*PN_Logis)</f>
        <v>5279</v>
      </c>
      <c r="K25" s="274">
        <f>K26-(K28*PN_Logis)</f>
        <v>5279</v>
      </c>
      <c r="L25" s="275">
        <f>L26-(L28*PN_Logis)</f>
        <v>3504.5</v>
      </c>
      <c r="M25" s="374"/>
    </row>
    <row r="26" spans="1:13" ht="15.75" thickBot="1">
      <c r="A26" s="324">
        <v>135</v>
      </c>
      <c r="B26" s="339" t="str">
        <f t="shared" si="1"/>
        <v>Durchschnittliche Auszahlung pro Monat</v>
      </c>
      <c r="C26" s="328">
        <f>DB_Annee</f>
        <v>2019</v>
      </c>
      <c r="D26" s="479">
        <f>C26+1</f>
        <v>2020</v>
      </c>
      <c r="E26" s="480"/>
      <c r="G26" s="224">
        <v>4</v>
      </c>
      <c r="H26" s="354" t="str">
        <f t="shared" si="2"/>
        <v>Naturallohn pro Jahr (mit Zimmer)</v>
      </c>
      <c r="I26" s="273">
        <f>(PN_Logis*I28)+(PN_Dejeuner*(I31+I32+I33))+(PN_Diner*I33)+(PN_Souper*(I31+I32+I33))</f>
        <v>9488</v>
      </c>
      <c r="J26" s="274">
        <f>(PN_Logis*J28)+(PN_Dejeuner*(J31+J32+J33))+(PN_Diner*J33)+(PN_Souper*(J31+J32+J33))</f>
        <v>9488</v>
      </c>
      <c r="K26" s="274">
        <f>(PN_Logis*K28)+(PN_Dejeuner*(K31+K32+K33))+(PN_Diner*K33)+(PN_Souper*(K31+K32+K33))</f>
        <v>9488</v>
      </c>
      <c r="L26" s="275">
        <f>(PN_Logis*L28)+(PN_Dejeuner*(L32+L33))+(PN_Diner*L33)+(PN_Souper*(L32+L33))</f>
        <v>7713.5</v>
      </c>
      <c r="M26" s="374"/>
    </row>
    <row r="27" spans="1:13" ht="15">
      <c r="A27" s="324">
        <v>136</v>
      </c>
      <c r="B27" s="340" t="str">
        <f t="shared" si="1"/>
        <v>ohne AHV, unter 18 Jahren:</v>
      </c>
      <c r="C27" s="341" t="e">
        <f>IF(PN_EffMoy=0,"...",INT(20*(Sa_VersementMensuelArrondi-(Sa_BaseMensuelArrondi*SUM(C58:C59)))+0.5)/20)</f>
        <v>#N/A</v>
      </c>
      <c r="D27" s="470" t="e">
        <f>IF(PN_EffMoy=0,"...",INT(20*(Sa_VersementMensuelArrondi-(Sa_BaseMensuelArrondi*SUM(D58:D59)))+0.5)/20)</f>
        <v>#N/A</v>
      </c>
      <c r="E27" s="471"/>
      <c r="G27" s="224">
        <v>5</v>
      </c>
      <c r="H27" s="354" t="str">
        <f t="shared" si="2"/>
        <v>Naturallohn pro Jahr (Zimmer ausserhalb Blockw.)</v>
      </c>
      <c r="I27" s="273">
        <v>0</v>
      </c>
      <c r="J27" s="274">
        <v>0</v>
      </c>
      <c r="K27" s="274">
        <v>0</v>
      </c>
      <c r="L27" s="275">
        <v>0</v>
      </c>
      <c r="M27" s="374"/>
    </row>
    <row r="28" spans="1:13" ht="15.75" thickBot="1">
      <c r="A28" s="324">
        <v>137</v>
      </c>
      <c r="B28" s="327" t="str">
        <f t="shared" si="1"/>
        <v>mit AHV, über 18 Jahren:</v>
      </c>
      <c r="C28" s="342" t="e">
        <f>IF(PN_EffMoy=0,"...",INT(20*(Sa_VersementMensuelArrondi-(Sa_BaseMensuelArrondi*SUM(C56:C59)))+0.5)/20)</f>
        <v>#N/A</v>
      </c>
      <c r="D28" s="464" t="e">
        <f>IF(PN_EffMoy=0,"...",INT(20*(Sa_VersementMensuelArrondi-(Sa_BaseMensuelArrondi*SUM(D56:D59)))+0.5)/20)</f>
        <v>#N/A</v>
      </c>
      <c r="E28" s="465"/>
      <c r="G28" s="224">
        <v>6</v>
      </c>
      <c r="H28" s="354" t="str">
        <f t="shared" si="2"/>
        <v>Vertragsdauer</v>
      </c>
      <c r="I28" s="273">
        <f>IF(MOD(DB_Annee+1,4)=0,366,365)</f>
        <v>366</v>
      </c>
      <c r="J28" s="274">
        <f>IF(MOD(DB_Annee+1,4)=0,366,365)</f>
        <v>366</v>
      </c>
      <c r="K28" s="274">
        <f>IF(MOD(DB_Annee+1,4)=0,366,365)</f>
        <v>366</v>
      </c>
      <c r="L28" s="275">
        <f>IF(MOD(DB_Annee+1,4)=0,366,365)</f>
        <v>366</v>
      </c>
      <c r="M28" s="374"/>
    </row>
    <row r="29" spans="2:15" ht="15">
      <c r="B29" s="7"/>
      <c r="G29" s="224">
        <v>7</v>
      </c>
      <c r="H29" s="354" t="str">
        <f t="shared" si="2"/>
        <v>Freitage</v>
      </c>
      <c r="I29" s="378">
        <v>78</v>
      </c>
      <c r="J29" s="379">
        <v>78</v>
      </c>
      <c r="K29" s="379">
        <v>78</v>
      </c>
      <c r="L29" s="380">
        <v>78</v>
      </c>
      <c r="M29" s="374"/>
      <c r="O29" s="14"/>
    </row>
    <row r="30" spans="1:13" ht="15">
      <c r="A30" s="184">
        <v>150</v>
      </c>
      <c r="B30" s="257"/>
      <c r="C30" s="466" t="str">
        <f>VLOOKUP(A30,Tb_Traduction,DB_Langue,FALSE)</f>
        <v>Naturallohnansätze</v>
      </c>
      <c r="D30" s="466"/>
      <c r="E30" s="466"/>
      <c r="G30" s="224">
        <v>8</v>
      </c>
      <c r="H30" s="354" t="str">
        <f t="shared" si="2"/>
        <v>Ferien</v>
      </c>
      <c r="I30" s="375">
        <f>22+DB_VacSup</f>
        <v>22</v>
      </c>
      <c r="J30" s="376">
        <f>22+DB_VacSup</f>
        <v>22</v>
      </c>
      <c r="K30" s="376">
        <f>22+DB_VacSup</f>
        <v>22</v>
      </c>
      <c r="L30" s="377">
        <f>22+DB_VacSup</f>
        <v>22</v>
      </c>
      <c r="M30" s="374"/>
    </row>
    <row r="31" spans="2:13" ht="15">
      <c r="B31" s="257"/>
      <c r="C31" s="258">
        <v>2019</v>
      </c>
      <c r="D31" s="461">
        <f>C31+1</f>
        <v>2020</v>
      </c>
      <c r="E31" s="462"/>
      <c r="G31" s="224">
        <v>9</v>
      </c>
      <c r="H31" s="354" t="str">
        <f t="shared" si="2"/>
        <v>Schultage</v>
      </c>
      <c r="I31" s="378">
        <v>40</v>
      </c>
      <c r="J31" s="379">
        <v>40</v>
      </c>
      <c r="K31" s="379">
        <v>40</v>
      </c>
      <c r="L31" s="380">
        <v>103</v>
      </c>
      <c r="M31" s="374"/>
    </row>
    <row r="32" spans="1:13" ht="15">
      <c r="A32" s="184">
        <v>151</v>
      </c>
      <c r="B32" s="183" t="str">
        <f aca="true" t="shared" si="3" ref="B32:B37">VLOOKUP(A32,Tb_Traduction,DB_Langue,FALSE)</f>
        <v>Übernachtung</v>
      </c>
      <c r="C32" s="256">
        <v>11.5</v>
      </c>
      <c r="D32" s="456">
        <v>11.5</v>
      </c>
      <c r="E32" s="457"/>
      <c r="G32" s="224">
        <v>10</v>
      </c>
      <c r="H32" s="354" t="str">
        <f t="shared" si="2"/>
        <v>üK</v>
      </c>
      <c r="I32" s="378">
        <v>4</v>
      </c>
      <c r="J32" s="379">
        <v>4</v>
      </c>
      <c r="K32" s="379">
        <v>4</v>
      </c>
      <c r="L32" s="380">
        <v>0</v>
      </c>
      <c r="M32" s="374"/>
    </row>
    <row r="33" spans="1:13" ht="15">
      <c r="A33" s="184">
        <v>152</v>
      </c>
      <c r="B33" s="183" t="str">
        <f t="shared" si="3"/>
        <v>Morgenessen</v>
      </c>
      <c r="C33" s="256">
        <v>3.5</v>
      </c>
      <c r="D33" s="456">
        <v>3.5</v>
      </c>
      <c r="E33" s="457"/>
      <c r="G33" s="352">
        <v>11</v>
      </c>
      <c r="H33" s="354" t="str">
        <f>VLOOKUP(G34,Tb_Traduction,DB_Langue,FALSE)</f>
        <v>Arbeitstage</v>
      </c>
      <c r="I33" s="273">
        <f>I28-SUM(I29:I32)</f>
        <v>222</v>
      </c>
      <c r="J33" s="274">
        <f>J28-SUM(J29:J32)</f>
        <v>222</v>
      </c>
      <c r="K33" s="274">
        <f>K28-SUM(K29:K32)</f>
        <v>222</v>
      </c>
      <c r="L33" s="275">
        <f>L28-SUM(L29:L32)</f>
        <v>163</v>
      </c>
      <c r="M33" s="374"/>
    </row>
    <row r="34" spans="1:13" ht="15.75" thickBot="1">
      <c r="A34" s="184">
        <v>153</v>
      </c>
      <c r="B34" s="183" t="str">
        <f t="shared" si="3"/>
        <v>Mittagessen</v>
      </c>
      <c r="C34" s="256">
        <v>10</v>
      </c>
      <c r="D34" s="456">
        <v>10</v>
      </c>
      <c r="E34" s="457"/>
      <c r="G34" s="224">
        <v>12</v>
      </c>
      <c r="H34" s="355" t="str">
        <f>VLOOKUP(G35,Tb_Traduction,DB_Langue,FALSE)</f>
        <v>Anzahl Monaten</v>
      </c>
      <c r="I34" s="276">
        <v>12</v>
      </c>
      <c r="J34" s="277">
        <v>12</v>
      </c>
      <c r="K34" s="277">
        <v>12</v>
      </c>
      <c r="L34" s="278">
        <v>12</v>
      </c>
      <c r="M34" s="374"/>
    </row>
    <row r="35" spans="1:13" ht="15.75" thickBot="1">
      <c r="A35" s="184">
        <v>154</v>
      </c>
      <c r="B35" s="183" t="str">
        <f t="shared" si="3"/>
        <v>Abendessen</v>
      </c>
      <c r="C35" s="256">
        <v>8</v>
      </c>
      <c r="D35" s="456">
        <v>8</v>
      </c>
      <c r="E35" s="457"/>
      <c r="G35" s="225">
        <v>13</v>
      </c>
      <c r="M35" s="374"/>
    </row>
    <row r="36" spans="1:13" ht="15">
      <c r="A36" s="184">
        <v>155</v>
      </c>
      <c r="B36" s="183" t="str">
        <f t="shared" si="3"/>
        <v>Zimmer zur Verfügung (ja/nein/Blockwochen)</v>
      </c>
      <c r="C36" s="467" t="s">
        <v>368</v>
      </c>
      <c r="D36" s="468"/>
      <c r="E36" s="469"/>
      <c r="F36" s="458" t="e">
        <f>IF(Sa_NatureAnnuel=0,VLOOKUP(A39+1,Tb_Traduction,DB_Langue,FALSE),"")</f>
        <v>#N/A</v>
      </c>
      <c r="G36" s="459"/>
      <c r="H36" s="459"/>
      <c r="I36" s="459"/>
      <c r="J36" s="459"/>
      <c r="K36" s="459"/>
      <c r="L36" s="459"/>
      <c r="M36" s="459"/>
    </row>
    <row r="37" spans="1:13" ht="15">
      <c r="A37" s="184">
        <v>156</v>
      </c>
      <c r="B37" s="491" t="str">
        <f t="shared" si="3"/>
        <v>In der Abrechnung den effektiven oder monatlichen (Durschnitt) Naturallohn anzeigen</v>
      </c>
      <c r="C37" s="467" t="s">
        <v>368</v>
      </c>
      <c r="D37" s="468"/>
      <c r="E37" s="469"/>
      <c r="F37" s="458" t="e">
        <f>IF(AND(PN_EffMoy=1,Nb_Mois&lt;&gt;12),VLOOKUP(A39+2,Tb_Traduction,DB_Langue,FALSE),"")</f>
        <v>#N/A</v>
      </c>
      <c r="G37" s="459"/>
      <c r="H37" s="459"/>
      <c r="I37" s="459"/>
      <c r="J37" s="459"/>
      <c r="K37" s="459"/>
      <c r="L37" s="459"/>
      <c r="M37" s="459"/>
    </row>
    <row r="38" spans="2:13" ht="15">
      <c r="B38" s="491"/>
      <c r="C38" s="316" t="e">
        <f>VLOOKUP(C37,DB_ListeEffMoy,2,FALSE)</f>
        <v>#N/A</v>
      </c>
      <c r="D38" s="492">
        <f>IF(OR(C36="OUI",C36="JA"),1,IF(OR(C36="NON",C36="NEIN"),0,2))</f>
        <v>2</v>
      </c>
      <c r="E38" s="492"/>
      <c r="G38" s="174"/>
      <c r="H38" s="174"/>
      <c r="I38" s="357"/>
      <c r="J38" s="357"/>
      <c r="K38" s="357"/>
      <c r="L38" s="357"/>
      <c r="M38" s="357"/>
    </row>
    <row r="39" spans="1:13" ht="15">
      <c r="A39" s="184">
        <v>157</v>
      </c>
      <c r="B39" s="491" t="str">
        <f>SUBSTITUTE(SUBSTITUTE(VLOOKUP(A39,Tb_Traduction,DB_Langue,FALSE),"***1",C31),"***2",D31)</f>
        <v>Wenn monatlicher Naturallohn, Lohnaufteilung August 2019 und 2020 angeben</v>
      </c>
      <c r="C39" s="317">
        <v>0.5</v>
      </c>
      <c r="D39" s="493">
        <v>0.5</v>
      </c>
      <c r="E39" s="494"/>
      <c r="G39" s="174"/>
      <c r="H39" s="174"/>
      <c r="I39" s="357"/>
      <c r="J39" s="357"/>
      <c r="K39" s="357"/>
      <c r="L39" s="357"/>
      <c r="M39" s="357"/>
    </row>
    <row r="40" spans="2:13" ht="15">
      <c r="B40" s="491"/>
      <c r="C40" s="251"/>
      <c r="D40" s="300"/>
      <c r="E40" s="300"/>
      <c r="G40" s="174"/>
      <c r="H40" s="234"/>
      <c r="I40" s="357"/>
      <c r="J40" s="357"/>
      <c r="K40" s="357"/>
      <c r="L40" s="357"/>
      <c r="M40" s="357"/>
    </row>
    <row r="41" spans="1:13" ht="15">
      <c r="A41" s="184">
        <v>160</v>
      </c>
      <c r="C41" s="466" t="str">
        <f>VLOOKUP(A41,Tb_Traduction,DB_Langue,FALSE)</f>
        <v>Naturallohnansätze pro Tag</v>
      </c>
      <c r="D41" s="466"/>
      <c r="E41" s="466"/>
      <c r="G41" s="174"/>
      <c r="H41" s="174"/>
      <c r="I41" s="357"/>
      <c r="J41" s="357"/>
      <c r="K41" s="357"/>
      <c r="L41" s="357"/>
      <c r="M41" s="357"/>
    </row>
    <row r="42" spans="1:13" ht="15">
      <c r="A42" s="184">
        <v>161</v>
      </c>
      <c r="C42" s="258" t="str">
        <f>VLOOKUP(A42,Tb_Traduction,DB_Langue,FALSE)</f>
        <v>Anz. Tage</v>
      </c>
      <c r="D42" s="258">
        <v>2019</v>
      </c>
      <c r="E42" s="258">
        <f>D42+1</f>
        <v>2020</v>
      </c>
      <c r="G42" s="174"/>
      <c r="H42" s="174"/>
      <c r="I42" s="357"/>
      <c r="J42" s="357"/>
      <c r="K42" s="357"/>
      <c r="L42" s="357"/>
      <c r="M42" s="357"/>
    </row>
    <row r="43" spans="1:13" ht="15">
      <c r="A43" s="184">
        <v>162</v>
      </c>
      <c r="B43" s="183" t="str">
        <f aca="true" t="shared" si="4" ref="B43:B52">VLOOKUP(A43,Tb_Traduction,DB_Langue,FALSE)</f>
        <v>Arbeitstage</v>
      </c>
      <c r="C43" s="259" t="e">
        <f>HLOOKUP(DB_AnneeApprentissage,DB_DonneesDeBase,11,FALSE)</f>
        <v>#N/A</v>
      </c>
      <c r="D43" s="259">
        <f>IF(PN_LogisOuiNon=0,0,PN_Logis)+PN_Dejeuner+PN_Souper+PN_Diner</f>
        <v>33</v>
      </c>
      <c r="E43" s="259">
        <f>IF(PN_LogisOuiNon=0,0,PN_Logis_Plus)+PN_Dejeuner_Plus+PN_Souper_Plus+PN_Diner_Plus</f>
        <v>33</v>
      </c>
      <c r="H43" s="174"/>
      <c r="I43" s="357"/>
      <c r="J43" s="357"/>
      <c r="K43" s="357"/>
      <c r="L43" s="357"/>
      <c r="M43" s="357"/>
    </row>
    <row r="44" spans="1:13" ht="15">
      <c r="A44" s="184">
        <v>163</v>
      </c>
      <c r="B44" s="183" t="str">
        <f t="shared" si="4"/>
        <v>Schultage</v>
      </c>
      <c r="C44" s="260" t="e">
        <f>HLOOKUP(DB_AnneeApprentissage,DB_DonneesDeBase,9,FALSE)</f>
        <v>#N/A</v>
      </c>
      <c r="D44" s="260">
        <f>IF(DB_AnneeApprentissage=3,IF(PN_LogisOuiNon=0,0,PN_Logis),IF(PN_LogisOuiNon=0,0,PN_Logis)+PN_Dejeuner+PN_Souper)</f>
        <v>23</v>
      </c>
      <c r="E44" s="260">
        <f>IF(DB_AnneeApprentissage=3,IF(PN_LogisOuiNon=0,0,PN_Logis_Plus),IF(PN_LogisOuiNon=0,0,PN_Logis_Plus)+PN_Dejeuner_Plus+PN_Souper_Plus)</f>
        <v>23</v>
      </c>
      <c r="H44" s="174"/>
      <c r="I44" s="174"/>
      <c r="J44" s="174"/>
      <c r="K44" s="174"/>
      <c r="L44" s="171"/>
      <c r="M44" s="171"/>
    </row>
    <row r="45" spans="1:13" ht="15">
      <c r="A45" s="184">
        <v>164</v>
      </c>
      <c r="B45" s="183" t="str">
        <f t="shared" si="4"/>
        <v>üK</v>
      </c>
      <c r="C45" s="260" t="e">
        <f>HLOOKUP(DB_AnneeApprentissage,DB_DonneesDeBase,10,FALSE)</f>
        <v>#N/A</v>
      </c>
      <c r="D45" s="260">
        <f>IF(PN_LogisOuiNon=0,0,PN_Logis)+PN_Dejeuner+PN_Souper</f>
        <v>23</v>
      </c>
      <c r="E45" s="260">
        <f>IF(PN_LogisOuiNon=0,0,PN_Logis_Plus)+PN_Dejeuner_Plus+PN_Souper_Plus</f>
        <v>23</v>
      </c>
      <c r="H45" s="174"/>
      <c r="I45" s="174"/>
      <c r="J45" s="174"/>
      <c r="K45" s="174"/>
      <c r="L45" s="171"/>
      <c r="M45" s="171"/>
    </row>
    <row r="46" spans="1:13" ht="15">
      <c r="A46" s="184">
        <v>171</v>
      </c>
      <c r="B46" s="183" t="str">
        <f>VLOOKUP(A46,Tb_Traduction,DB_Langue,FALSE)</f>
        <v>Militär</v>
      </c>
      <c r="C46" s="284">
        <v>0</v>
      </c>
      <c r="D46" s="284">
        <f>IF(PN_LogisOuiNon=0,0,PN_Logis)</f>
        <v>11.5</v>
      </c>
      <c r="E46" s="284">
        <f>IF(PN_LogisOuiNon=0,0,PN_Logis_Plus)</f>
        <v>11.5</v>
      </c>
      <c r="G46" s="174"/>
      <c r="H46" s="174"/>
      <c r="I46" s="174"/>
      <c r="J46" s="174"/>
      <c r="K46" s="174"/>
      <c r="L46" s="171"/>
      <c r="M46" s="171"/>
    </row>
    <row r="47" spans="1:13" ht="15">
      <c r="A47" s="184">
        <v>165</v>
      </c>
      <c r="B47" s="183" t="str">
        <f t="shared" si="4"/>
        <v>Freitage</v>
      </c>
      <c r="C47" s="261" t="e">
        <f>HLOOKUP(DB_AnneeApprentissage,DB_DonneesDeBase,7,FALSE)</f>
        <v>#N/A</v>
      </c>
      <c r="D47" s="261">
        <f>IF(PN_LogisOuiNon=0,0,PN_Logis)</f>
        <v>11.5</v>
      </c>
      <c r="E47" s="261">
        <f>IF(PN_LogisOuiNon=0,0,PN_Logis_Plus)</f>
        <v>11.5</v>
      </c>
      <c r="G47" s="174"/>
      <c r="H47" s="174"/>
      <c r="I47" s="174"/>
      <c r="J47" s="174"/>
      <c r="K47" s="174"/>
      <c r="L47" s="171"/>
      <c r="M47" s="171"/>
    </row>
    <row r="48" spans="1:13" ht="15">
      <c r="A48" s="184">
        <v>166</v>
      </c>
      <c r="B48" s="183" t="str">
        <f t="shared" si="4"/>
        <v>Ferien</v>
      </c>
      <c r="C48" s="261" t="e">
        <f>HLOOKUP(DB_AnneeApprentissage,DB_DonneesDeBase,8,FALSE)</f>
        <v>#N/A</v>
      </c>
      <c r="D48" s="261">
        <f>IF(PN_LogisOuiNon=0,0,PN_Logis)</f>
        <v>11.5</v>
      </c>
      <c r="E48" s="261">
        <f>IF(PN_LogisOuiNon=0,0,PN_Logis_Plus)</f>
        <v>11.5</v>
      </c>
      <c r="G48" s="174"/>
      <c r="H48" s="174"/>
      <c r="I48" s="174"/>
      <c r="J48" s="174"/>
      <c r="K48" s="174"/>
      <c r="L48" s="171"/>
      <c r="M48" s="171"/>
    </row>
    <row r="49" spans="1:13" ht="15">
      <c r="A49" s="184">
        <v>167</v>
      </c>
      <c r="B49" s="183" t="str">
        <f t="shared" si="4"/>
        <v>halbe (Arbeitstage/Freitage)</v>
      </c>
      <c r="C49" s="259">
        <v>0</v>
      </c>
      <c r="D49" s="259">
        <f>IF(PN_LogisOuiNon=1,PN_Logis,0)</f>
        <v>0</v>
      </c>
      <c r="E49" s="259">
        <f>IF(PN_LogisOuiNon=1,PN_Logis_Plus,0)</f>
        <v>0</v>
      </c>
      <c r="G49" s="174"/>
      <c r="H49" s="174"/>
      <c r="I49" s="174"/>
      <c r="J49" s="174"/>
      <c r="K49" s="174"/>
      <c r="L49" s="171"/>
      <c r="M49" s="171"/>
    </row>
    <row r="50" spans="1:13" ht="15">
      <c r="A50" s="184">
        <v>168</v>
      </c>
      <c r="B50" s="183" t="str">
        <f t="shared" si="4"/>
        <v>Unfall</v>
      </c>
      <c r="C50" s="284">
        <v>0</v>
      </c>
      <c r="D50" s="284">
        <f>PN_Conge</f>
        <v>11.5</v>
      </c>
      <c r="E50" s="284">
        <f>PN_Conge_Plus</f>
        <v>11.5</v>
      </c>
      <c r="G50" s="174"/>
      <c r="H50" s="174"/>
      <c r="I50" s="174"/>
      <c r="J50" s="174"/>
      <c r="K50" s="174"/>
      <c r="L50" s="171"/>
      <c r="M50" s="171"/>
    </row>
    <row r="51" spans="1:13" ht="15">
      <c r="A51" s="184">
        <v>169</v>
      </c>
      <c r="B51" s="183" t="str">
        <f t="shared" si="4"/>
        <v>Krankheit</v>
      </c>
      <c r="C51" s="284">
        <v>0</v>
      </c>
      <c r="D51" s="284">
        <f>PN_Conge</f>
        <v>11.5</v>
      </c>
      <c r="E51" s="284">
        <f>PN_Conge_Plus</f>
        <v>11.5</v>
      </c>
      <c r="G51" s="174"/>
      <c r="H51" s="174"/>
      <c r="I51" s="174"/>
      <c r="J51" s="174"/>
      <c r="K51" s="174"/>
      <c r="L51" s="171"/>
      <c r="M51" s="171"/>
    </row>
    <row r="52" spans="1:13" ht="15">
      <c r="A52" s="184">
        <v>170</v>
      </c>
      <c r="B52" s="183" t="str">
        <f t="shared" si="4"/>
        <v>Total anzahl Tage</v>
      </c>
      <c r="C52" s="344" t="e">
        <f>SUM(C43:C51)</f>
        <v>#N/A</v>
      </c>
      <c r="D52" s="345"/>
      <c r="E52" s="345"/>
      <c r="G52" s="174"/>
      <c r="H52" s="174"/>
      <c r="I52" s="174"/>
      <c r="J52" s="174"/>
      <c r="K52" s="174"/>
      <c r="L52" s="171"/>
      <c r="M52" s="171"/>
    </row>
    <row r="53" spans="1:13" ht="14.25">
      <c r="A53" s="174"/>
      <c r="B53" s="174"/>
      <c r="C53" s="174"/>
      <c r="D53" s="174"/>
      <c r="E53" s="174"/>
      <c r="G53" s="174"/>
      <c r="H53" s="174"/>
      <c r="I53" s="174"/>
      <c r="J53" s="174"/>
      <c r="K53" s="174"/>
      <c r="L53" s="171"/>
      <c r="M53" s="171"/>
    </row>
    <row r="54" spans="1:13" ht="15">
      <c r="A54" s="184">
        <v>180</v>
      </c>
      <c r="C54" s="490" t="str">
        <f>VLOOKUP(A54,Tb_Traduction,DB_Langue,FALSE)</f>
        <v>Lohnrückbehalte</v>
      </c>
      <c r="D54" s="490"/>
      <c r="E54" s="490"/>
      <c r="G54" s="174"/>
      <c r="H54" s="174"/>
      <c r="I54" s="174"/>
      <c r="J54" s="174"/>
      <c r="K54" s="174"/>
      <c r="L54" s="171"/>
      <c r="M54" s="171"/>
    </row>
    <row r="55" spans="2:13" ht="15">
      <c r="B55" s="257"/>
      <c r="C55" s="258">
        <v>2019</v>
      </c>
      <c r="D55" s="478">
        <f>C55+1</f>
        <v>2020</v>
      </c>
      <c r="E55" s="478"/>
      <c r="G55" s="174"/>
      <c r="H55" s="174"/>
      <c r="I55" s="174"/>
      <c r="J55" s="174"/>
      <c r="K55" s="174"/>
      <c r="L55" s="171"/>
      <c r="M55" s="171"/>
    </row>
    <row r="56" spans="1:13" ht="15">
      <c r="A56" s="184">
        <v>181</v>
      </c>
      <c r="B56" s="183" t="str">
        <f>VLOOKUP(A56,Tb_Traduction,DB_Langue,FALSE)</f>
        <v>Beiträge AHV, IV, EO</v>
      </c>
      <c r="C56" s="373">
        <v>0.05125</v>
      </c>
      <c r="D56" s="476">
        <v>0.05125</v>
      </c>
      <c r="E56" s="477"/>
      <c r="G56" s="174"/>
      <c r="H56" s="174"/>
      <c r="I56" s="174"/>
      <c r="J56" s="174"/>
      <c r="K56" s="174"/>
      <c r="L56" s="171"/>
      <c r="M56" s="171"/>
    </row>
    <row r="57" spans="1:13" ht="15">
      <c r="A57" s="184">
        <v>182</v>
      </c>
      <c r="B57" s="183" t="str">
        <f>VLOOKUP(A57,Tb_Traduction,DB_Langue,FALSE)</f>
        <v>Beiträge ALV</v>
      </c>
      <c r="C57" s="373">
        <v>0.011</v>
      </c>
      <c r="D57" s="476">
        <v>0.011</v>
      </c>
      <c r="E57" s="477"/>
      <c r="G57" s="174"/>
      <c r="H57" s="174"/>
      <c r="I57" s="174"/>
      <c r="J57" s="174"/>
      <c r="K57" s="174"/>
      <c r="L57" s="171"/>
      <c r="M57" s="171"/>
    </row>
    <row r="58" spans="1:13" ht="15">
      <c r="A58" s="184">
        <v>183</v>
      </c>
      <c r="B58" s="183" t="str">
        <f>VLOOKUP(A58,Tb_Traduction,DB_Langue,FALSE)</f>
        <v>Nichtbetriebsunfall</v>
      </c>
      <c r="C58" s="373">
        <v>0.01641</v>
      </c>
      <c r="D58" s="476">
        <v>0.01641</v>
      </c>
      <c r="E58" s="477"/>
      <c r="G58" s="174"/>
      <c r="H58" s="174"/>
      <c r="I58" s="174"/>
      <c r="J58" s="174"/>
      <c r="K58" s="174"/>
      <c r="L58" s="171"/>
      <c r="M58" s="171"/>
    </row>
    <row r="59" spans="1:13" ht="15">
      <c r="A59" s="184">
        <v>184</v>
      </c>
      <c r="B59" s="183" t="str">
        <f>VLOOKUP(A59,Tb_Traduction,DB_Langue,FALSE)</f>
        <v>Krankentaggeld</v>
      </c>
      <c r="C59" s="373">
        <v>0.0044</v>
      </c>
      <c r="D59" s="476">
        <v>0.0044</v>
      </c>
      <c r="E59" s="477"/>
      <c r="G59" s="174"/>
      <c r="H59" s="174"/>
      <c r="I59" s="174"/>
      <c r="J59" s="174"/>
      <c r="K59" s="174"/>
      <c r="L59" s="171"/>
      <c r="M59" s="171"/>
    </row>
    <row r="60" spans="7:13" ht="15">
      <c r="G60" s="174"/>
      <c r="H60" s="174"/>
      <c r="I60" s="174"/>
      <c r="J60" s="174"/>
      <c r="K60" s="174"/>
      <c r="L60" s="171"/>
      <c r="M60" s="171"/>
    </row>
    <row r="61" spans="3:13" ht="15">
      <c r="C61" s="364"/>
      <c r="G61" s="174"/>
      <c r="H61" s="174"/>
      <c r="I61" s="174"/>
      <c r="J61" s="174"/>
      <c r="K61" s="174"/>
      <c r="L61" s="171"/>
      <c r="M61" s="171"/>
    </row>
    <row r="62" spans="7:13" ht="15">
      <c r="G62" s="174"/>
      <c r="H62" s="174"/>
      <c r="I62" s="174"/>
      <c r="J62" s="174"/>
      <c r="K62" s="174"/>
      <c r="L62" s="171"/>
      <c r="M62" s="171"/>
    </row>
    <row r="63" spans="7:13" ht="15">
      <c r="G63" s="174"/>
      <c r="H63" s="174"/>
      <c r="I63" s="174"/>
      <c r="J63" s="174"/>
      <c r="K63" s="174"/>
      <c r="L63" s="171"/>
      <c r="M63" s="171"/>
    </row>
    <row r="64" spans="7:13" ht="15">
      <c r="G64" s="174"/>
      <c r="H64" s="174"/>
      <c r="I64" s="174"/>
      <c r="J64" s="174"/>
      <c r="K64" s="174"/>
      <c r="L64" s="171"/>
      <c r="M64" s="171"/>
    </row>
    <row r="65" spans="7:13" ht="15">
      <c r="G65" s="174"/>
      <c r="H65" s="174"/>
      <c r="I65" s="174"/>
      <c r="J65" s="174"/>
      <c r="K65" s="174"/>
      <c r="L65" s="171"/>
      <c r="M65" s="171"/>
    </row>
    <row r="66" spans="7:13" ht="15">
      <c r="G66" s="174"/>
      <c r="H66" s="174"/>
      <c r="I66" s="174"/>
      <c r="J66" s="174"/>
      <c r="K66" s="174"/>
      <c r="L66" s="171"/>
      <c r="M66" s="171"/>
    </row>
    <row r="67" spans="7:13" ht="15">
      <c r="G67" s="174"/>
      <c r="H67" s="174"/>
      <c r="I67" s="174"/>
      <c r="J67" s="174"/>
      <c r="K67" s="174"/>
      <c r="L67" s="171"/>
      <c r="M67" s="171"/>
    </row>
    <row r="68" spans="7:13" ht="15">
      <c r="G68" s="174"/>
      <c r="H68" s="174"/>
      <c r="I68" s="174"/>
      <c r="J68" s="174"/>
      <c r="K68" s="174"/>
      <c r="L68" s="171"/>
      <c r="M68" s="171"/>
    </row>
    <row r="69" spans="7:13" ht="15">
      <c r="G69" s="174"/>
      <c r="H69" s="174"/>
      <c r="I69" s="174"/>
      <c r="J69" s="174"/>
      <c r="K69" s="174"/>
      <c r="L69" s="171"/>
      <c r="M69" s="171"/>
    </row>
    <row r="70" spans="7:13" ht="15">
      <c r="G70" s="174"/>
      <c r="H70" s="174"/>
      <c r="I70" s="174"/>
      <c r="J70" s="174"/>
      <c r="K70" s="174"/>
      <c r="L70" s="171"/>
      <c r="M70" s="171"/>
    </row>
    <row r="71" spans="7:13" ht="15">
      <c r="G71" s="174"/>
      <c r="H71" s="174"/>
      <c r="I71" s="174"/>
      <c r="J71" s="174"/>
      <c r="K71" s="174"/>
      <c r="L71" s="171"/>
      <c r="M71" s="171"/>
    </row>
    <row r="72" spans="7:13" ht="15">
      <c r="G72" s="174"/>
      <c r="H72" s="174"/>
      <c r="I72" s="174"/>
      <c r="J72" s="174"/>
      <c r="K72" s="174"/>
      <c r="L72" s="171"/>
      <c r="M72" s="171"/>
    </row>
    <row r="73" spans="7:13" ht="15">
      <c r="G73" s="174"/>
      <c r="H73" s="174"/>
      <c r="I73" s="174"/>
      <c r="J73" s="174"/>
      <c r="K73" s="174"/>
      <c r="L73" s="171"/>
      <c r="M73" s="171"/>
    </row>
    <row r="74" spans="7:13" ht="15">
      <c r="G74" s="174"/>
      <c r="H74" s="174"/>
      <c r="I74" s="174"/>
      <c r="J74" s="174"/>
      <c r="K74" s="174"/>
      <c r="L74" s="171"/>
      <c r="M74" s="171"/>
    </row>
    <row r="75" spans="7:13" ht="15">
      <c r="G75" s="174"/>
      <c r="H75" s="174"/>
      <c r="I75" s="174"/>
      <c r="J75" s="174"/>
      <c r="K75" s="174"/>
      <c r="L75" s="171"/>
      <c r="M75" s="171"/>
    </row>
    <row r="76" spans="7:13" ht="15">
      <c r="G76" s="174"/>
      <c r="H76" s="174"/>
      <c r="I76" s="174"/>
      <c r="J76" s="174"/>
      <c r="K76" s="174"/>
      <c r="L76" s="171"/>
      <c r="M76" s="171"/>
    </row>
    <row r="77" spans="7:13" ht="15">
      <c r="G77" s="174"/>
      <c r="H77" s="174"/>
      <c r="I77" s="174"/>
      <c r="J77" s="174"/>
      <c r="K77" s="174"/>
      <c r="L77" s="171"/>
      <c r="M77" s="171"/>
    </row>
    <row r="78" spans="7:13" ht="15">
      <c r="G78" s="174"/>
      <c r="H78" s="174"/>
      <c r="I78" s="174"/>
      <c r="J78" s="174"/>
      <c r="K78" s="174"/>
      <c r="L78" s="171"/>
      <c r="M78" s="171"/>
    </row>
    <row r="79" spans="7:13" ht="15">
      <c r="G79" s="174"/>
      <c r="H79" s="174"/>
      <c r="I79" s="174"/>
      <c r="J79" s="174"/>
      <c r="K79" s="174"/>
      <c r="L79" s="171"/>
      <c r="M79" s="171"/>
    </row>
    <row r="80" spans="7:13" ht="15">
      <c r="G80" s="174"/>
      <c r="H80" s="174"/>
      <c r="I80" s="174"/>
      <c r="J80" s="174"/>
      <c r="K80" s="174"/>
      <c r="L80" s="171"/>
      <c r="M80" s="171"/>
    </row>
    <row r="81" spans="7:13" ht="15">
      <c r="G81" s="174"/>
      <c r="H81" s="174"/>
      <c r="I81" s="174"/>
      <c r="J81" s="174"/>
      <c r="K81" s="174"/>
      <c r="L81" s="171"/>
      <c r="M81" s="171"/>
    </row>
    <row r="82" spans="7:13" ht="15">
      <c r="G82" s="174"/>
      <c r="H82" s="174"/>
      <c r="I82" s="174"/>
      <c r="J82" s="174"/>
      <c r="K82" s="174"/>
      <c r="L82" s="171"/>
      <c r="M82" s="171"/>
    </row>
    <row r="83" spans="7:13" ht="15">
      <c r="G83" s="174"/>
      <c r="H83" s="174"/>
      <c r="I83" s="174"/>
      <c r="J83" s="174"/>
      <c r="K83" s="174"/>
      <c r="L83" s="171"/>
      <c r="M83" s="171"/>
    </row>
    <row r="84" spans="7:13" ht="15">
      <c r="G84" s="174"/>
      <c r="H84" s="174"/>
      <c r="I84" s="174"/>
      <c r="J84" s="174"/>
      <c r="K84" s="174"/>
      <c r="L84" s="171"/>
      <c r="M84" s="171"/>
    </row>
    <row r="85" spans="7:13" ht="15">
      <c r="G85" s="174"/>
      <c r="H85" s="174"/>
      <c r="I85" s="174"/>
      <c r="J85" s="174"/>
      <c r="K85" s="174"/>
      <c r="L85" s="171"/>
      <c r="M85" s="171"/>
    </row>
    <row r="86" spans="7:13" ht="15">
      <c r="G86" s="174"/>
      <c r="H86" s="174"/>
      <c r="I86" s="174"/>
      <c r="J86" s="174"/>
      <c r="K86" s="174"/>
      <c r="L86" s="171"/>
      <c r="M86" s="171"/>
    </row>
    <row r="87" spans="7:13" ht="15">
      <c r="G87" s="174"/>
      <c r="H87" s="174"/>
      <c r="I87" s="174"/>
      <c r="J87" s="174"/>
      <c r="K87" s="174"/>
      <c r="L87" s="171"/>
      <c r="M87" s="171"/>
    </row>
    <row r="88" spans="7:13" ht="15">
      <c r="G88" s="174"/>
      <c r="H88" s="174"/>
      <c r="I88" s="174"/>
      <c r="J88" s="174"/>
      <c r="K88" s="174"/>
      <c r="L88" s="171"/>
      <c r="M88" s="171"/>
    </row>
    <row r="89" spans="7:13" ht="15">
      <c r="G89" s="174"/>
      <c r="H89" s="174"/>
      <c r="I89" s="174"/>
      <c r="J89" s="174"/>
      <c r="K89" s="174"/>
      <c r="L89" s="171"/>
      <c r="M89" s="171"/>
    </row>
    <row r="90" spans="7:13" ht="15">
      <c r="G90" s="174"/>
      <c r="H90" s="174"/>
      <c r="I90" s="174"/>
      <c r="J90" s="174"/>
      <c r="K90" s="174"/>
      <c r="L90" s="171"/>
      <c r="M90" s="171"/>
    </row>
    <row r="91" spans="7:13" ht="15">
      <c r="G91" s="174"/>
      <c r="H91" s="174"/>
      <c r="I91" s="174"/>
      <c r="J91" s="174"/>
      <c r="K91" s="174"/>
      <c r="L91" s="171"/>
      <c r="M91" s="171"/>
    </row>
    <row r="92" spans="7:13" ht="15">
      <c r="G92" s="174"/>
      <c r="H92" s="174"/>
      <c r="I92" s="174"/>
      <c r="J92" s="174"/>
      <c r="K92" s="174"/>
      <c r="L92" s="171"/>
      <c r="M92" s="171"/>
    </row>
    <row r="93" spans="7:13" ht="15">
      <c r="G93" s="174"/>
      <c r="H93" s="174"/>
      <c r="I93" s="174"/>
      <c r="J93" s="174"/>
      <c r="K93" s="174"/>
      <c r="L93" s="171"/>
      <c r="M93" s="171"/>
    </row>
    <row r="94" spans="7:13" ht="15">
      <c r="G94" s="174"/>
      <c r="H94" s="174"/>
      <c r="I94" s="174"/>
      <c r="J94" s="174"/>
      <c r="K94" s="174"/>
      <c r="L94" s="171"/>
      <c r="M94" s="171"/>
    </row>
    <row r="95" spans="7:13" ht="15">
      <c r="G95" s="174"/>
      <c r="H95" s="174"/>
      <c r="I95" s="174"/>
      <c r="J95" s="174"/>
      <c r="K95" s="174"/>
      <c r="L95" s="171"/>
      <c r="M95" s="171"/>
    </row>
    <row r="96" spans="7:13" ht="15">
      <c r="G96" s="174"/>
      <c r="H96" s="174"/>
      <c r="I96" s="174"/>
      <c r="J96" s="174"/>
      <c r="K96" s="174"/>
      <c r="L96" s="171"/>
      <c r="M96" s="171"/>
    </row>
    <row r="97" spans="7:13" ht="15">
      <c r="G97" s="174"/>
      <c r="H97" s="174"/>
      <c r="I97" s="174"/>
      <c r="J97" s="174"/>
      <c r="K97" s="174"/>
      <c r="L97" s="171"/>
      <c r="M97" s="171"/>
    </row>
    <row r="98" spans="7:13" ht="15">
      <c r="G98" s="174"/>
      <c r="H98" s="174"/>
      <c r="I98" s="174"/>
      <c r="J98" s="174"/>
      <c r="K98" s="174"/>
      <c r="L98" s="171"/>
      <c r="M98" s="171"/>
    </row>
    <row r="99" spans="7:13" ht="15">
      <c r="G99" s="174"/>
      <c r="H99" s="174"/>
      <c r="I99" s="174"/>
      <c r="J99" s="174"/>
      <c r="K99" s="174"/>
      <c r="L99" s="171"/>
      <c r="M99" s="171"/>
    </row>
    <row r="100" spans="7:13" ht="15">
      <c r="G100" s="174"/>
      <c r="H100" s="174"/>
      <c r="I100" s="174"/>
      <c r="J100" s="174"/>
      <c r="K100" s="174"/>
      <c r="L100" s="171"/>
      <c r="M100" s="171"/>
    </row>
    <row r="101" spans="7:13" ht="15">
      <c r="G101" s="174"/>
      <c r="H101" s="174"/>
      <c r="I101" s="174"/>
      <c r="J101" s="174"/>
      <c r="K101" s="174"/>
      <c r="L101" s="171"/>
      <c r="M101" s="171"/>
    </row>
    <row r="102" spans="7:13" ht="15">
      <c r="G102" s="174"/>
      <c r="H102" s="174"/>
      <c r="I102" s="174"/>
      <c r="J102" s="174"/>
      <c r="K102" s="174"/>
      <c r="L102" s="171"/>
      <c r="M102" s="171"/>
    </row>
    <row r="103" spans="7:13" ht="15">
      <c r="G103" s="174"/>
      <c r="H103" s="174"/>
      <c r="I103" s="174"/>
      <c r="J103" s="174"/>
      <c r="K103" s="174"/>
      <c r="L103" s="171"/>
      <c r="M103" s="171"/>
    </row>
    <row r="104" spans="7:13" ht="15">
      <c r="G104" s="174"/>
      <c r="H104" s="174"/>
      <c r="I104" s="174"/>
      <c r="J104" s="174"/>
      <c r="K104" s="174"/>
      <c r="L104" s="171"/>
      <c r="M104" s="171"/>
    </row>
    <row r="105" spans="7:13" ht="15">
      <c r="G105" s="174"/>
      <c r="H105" s="174"/>
      <c r="I105" s="174"/>
      <c r="J105" s="174"/>
      <c r="K105" s="174"/>
      <c r="L105" s="171"/>
      <c r="M105" s="171"/>
    </row>
    <row r="106" spans="7:13" ht="15">
      <c r="G106" s="174"/>
      <c r="H106" s="174"/>
      <c r="I106" s="174"/>
      <c r="J106" s="174"/>
      <c r="K106" s="174"/>
      <c r="L106" s="171"/>
      <c r="M106" s="171"/>
    </row>
    <row r="107" spans="7:13" ht="15">
      <c r="G107" s="174"/>
      <c r="H107" s="174"/>
      <c r="I107" s="174"/>
      <c r="J107" s="174"/>
      <c r="K107" s="174"/>
      <c r="L107" s="171"/>
      <c r="M107" s="171"/>
    </row>
    <row r="108" spans="7:13" ht="15">
      <c r="G108" s="174"/>
      <c r="H108" s="174"/>
      <c r="I108" s="174"/>
      <c r="J108" s="174"/>
      <c r="K108" s="174"/>
      <c r="L108" s="171"/>
      <c r="M108" s="171"/>
    </row>
    <row r="109" spans="7:13" ht="15">
      <c r="G109" s="174"/>
      <c r="H109" s="174"/>
      <c r="I109" s="174"/>
      <c r="J109" s="174"/>
      <c r="K109" s="174"/>
      <c r="L109" s="171"/>
      <c r="M109" s="171"/>
    </row>
    <row r="110" spans="7:13" ht="15">
      <c r="G110" s="174"/>
      <c r="H110" s="174"/>
      <c r="I110" s="174"/>
      <c r="J110" s="174"/>
      <c r="K110" s="174"/>
      <c r="L110" s="171"/>
      <c r="M110" s="171"/>
    </row>
    <row r="111" spans="7:13" ht="15">
      <c r="G111" s="174"/>
      <c r="H111" s="174"/>
      <c r="I111" s="174"/>
      <c r="J111" s="174"/>
      <c r="K111" s="174"/>
      <c r="L111" s="171"/>
      <c r="M111" s="171"/>
    </row>
    <row r="112" spans="7:13" ht="15">
      <c r="G112" s="174"/>
      <c r="H112" s="174"/>
      <c r="I112" s="174"/>
      <c r="J112" s="174"/>
      <c r="K112" s="174"/>
      <c r="L112" s="171"/>
      <c r="M112" s="171"/>
    </row>
    <row r="113" spans="7:13" ht="15">
      <c r="G113" s="174"/>
      <c r="H113" s="174"/>
      <c r="I113" s="174"/>
      <c r="J113" s="174"/>
      <c r="K113" s="174"/>
      <c r="L113" s="171"/>
      <c r="M113" s="171"/>
    </row>
    <row r="114" spans="7:13" ht="15">
      <c r="G114" s="174"/>
      <c r="H114" s="174"/>
      <c r="I114" s="174"/>
      <c r="J114" s="174"/>
      <c r="K114" s="174"/>
      <c r="L114" s="171"/>
      <c r="M114" s="171"/>
    </row>
    <row r="115" spans="7:13" ht="15">
      <c r="G115" s="174"/>
      <c r="H115" s="174"/>
      <c r="I115" s="174"/>
      <c r="J115" s="174"/>
      <c r="K115" s="174"/>
      <c r="L115" s="171"/>
      <c r="M115" s="171"/>
    </row>
    <row r="116" spans="7:13" ht="15">
      <c r="G116" s="174"/>
      <c r="H116" s="174"/>
      <c r="I116" s="174"/>
      <c r="J116" s="174"/>
      <c r="K116" s="174"/>
      <c r="L116" s="171"/>
      <c r="M116" s="171"/>
    </row>
    <row r="117" spans="7:13" ht="15">
      <c r="G117" s="174"/>
      <c r="H117" s="174"/>
      <c r="I117" s="174"/>
      <c r="J117" s="174"/>
      <c r="K117" s="174"/>
      <c r="L117" s="171"/>
      <c r="M117" s="171"/>
    </row>
    <row r="118" spans="7:13" ht="15">
      <c r="G118" s="174"/>
      <c r="H118" s="174"/>
      <c r="I118" s="174"/>
      <c r="J118" s="174"/>
      <c r="K118" s="174"/>
      <c r="L118" s="171"/>
      <c r="M118" s="171"/>
    </row>
    <row r="119" spans="7:13" ht="15">
      <c r="G119" s="174"/>
      <c r="H119" s="174"/>
      <c r="I119" s="174"/>
      <c r="J119" s="174"/>
      <c r="K119" s="174"/>
      <c r="L119" s="171"/>
      <c r="M119" s="171"/>
    </row>
    <row r="120" spans="7:13" ht="15">
      <c r="G120" s="174"/>
      <c r="H120" s="174"/>
      <c r="I120" s="174"/>
      <c r="J120" s="174"/>
      <c r="K120" s="174"/>
      <c r="L120" s="171"/>
      <c r="M120" s="171"/>
    </row>
    <row r="121" spans="7:13" ht="15">
      <c r="G121" s="174"/>
      <c r="H121" s="174"/>
      <c r="I121" s="174"/>
      <c r="J121" s="174"/>
      <c r="K121" s="174"/>
      <c r="L121" s="171"/>
      <c r="M121" s="171"/>
    </row>
    <row r="122" spans="7:13" ht="15">
      <c r="G122" s="174"/>
      <c r="H122" s="174"/>
      <c r="I122" s="174"/>
      <c r="J122" s="174"/>
      <c r="K122" s="174"/>
      <c r="L122" s="171"/>
      <c r="M122" s="171"/>
    </row>
    <row r="123" spans="7:13" ht="15">
      <c r="G123" s="174"/>
      <c r="H123" s="174"/>
      <c r="I123" s="174"/>
      <c r="J123" s="174"/>
      <c r="K123" s="174"/>
      <c r="L123" s="171"/>
      <c r="M123" s="171"/>
    </row>
    <row r="124" spans="7:13" ht="15">
      <c r="G124" s="174"/>
      <c r="H124" s="174"/>
      <c r="I124" s="174"/>
      <c r="J124" s="174"/>
      <c r="K124" s="174"/>
      <c r="L124" s="171"/>
      <c r="M124" s="171"/>
    </row>
    <row r="125" spans="7:13" ht="15">
      <c r="G125" s="174"/>
      <c r="H125" s="174"/>
      <c r="I125" s="174"/>
      <c r="J125" s="174"/>
      <c r="K125" s="174"/>
      <c r="L125" s="171"/>
      <c r="M125" s="171"/>
    </row>
    <row r="126" spans="7:13" ht="15">
      <c r="G126" s="174"/>
      <c r="H126" s="174"/>
      <c r="I126" s="174"/>
      <c r="J126" s="174"/>
      <c r="K126" s="174"/>
      <c r="L126" s="171"/>
      <c r="M126" s="171"/>
    </row>
    <row r="127" spans="7:13" ht="15">
      <c r="G127" s="174"/>
      <c r="H127" s="174"/>
      <c r="I127" s="174"/>
      <c r="J127" s="174"/>
      <c r="K127" s="174"/>
      <c r="L127" s="171"/>
      <c r="M127" s="171"/>
    </row>
    <row r="128" spans="7:13" ht="15">
      <c r="G128" s="174"/>
      <c r="H128" s="174"/>
      <c r="I128" s="174"/>
      <c r="J128" s="174"/>
      <c r="K128" s="174"/>
      <c r="L128" s="171"/>
      <c r="M128" s="171"/>
    </row>
    <row r="129" spans="7:13" ht="15">
      <c r="G129" s="174"/>
      <c r="H129" s="174"/>
      <c r="I129" s="174"/>
      <c r="J129" s="174"/>
      <c r="K129" s="174"/>
      <c r="L129" s="171"/>
      <c r="M129" s="171"/>
    </row>
    <row r="130" spans="7:13" ht="15">
      <c r="G130" s="174"/>
      <c r="H130" s="174"/>
      <c r="I130" s="174"/>
      <c r="J130" s="174"/>
      <c r="K130" s="174"/>
      <c r="L130" s="171"/>
      <c r="M130" s="171"/>
    </row>
    <row r="131" spans="7:13" ht="15">
      <c r="G131" s="174"/>
      <c r="H131" s="174"/>
      <c r="I131" s="174"/>
      <c r="J131" s="174"/>
      <c r="K131" s="174"/>
      <c r="L131" s="171"/>
      <c r="M131" s="171"/>
    </row>
    <row r="132" spans="7:13" ht="15">
      <c r="G132" s="174"/>
      <c r="H132" s="174"/>
      <c r="I132" s="174"/>
      <c r="J132" s="174"/>
      <c r="K132" s="174"/>
      <c r="L132" s="171"/>
      <c r="M132" s="171"/>
    </row>
    <row r="133" spans="7:13" ht="15">
      <c r="G133" s="174"/>
      <c r="H133" s="174"/>
      <c r="I133" s="174"/>
      <c r="J133" s="174"/>
      <c r="K133" s="174"/>
      <c r="L133" s="171"/>
      <c r="M133" s="171"/>
    </row>
    <row r="134" spans="7:13" ht="15">
      <c r="G134" s="174"/>
      <c r="H134" s="174"/>
      <c r="I134" s="174"/>
      <c r="J134" s="174"/>
      <c r="K134" s="174"/>
      <c r="L134" s="171"/>
      <c r="M134" s="171"/>
    </row>
    <row r="135" spans="7:13" ht="15">
      <c r="G135" s="174"/>
      <c r="H135" s="174"/>
      <c r="I135" s="174"/>
      <c r="J135" s="174"/>
      <c r="K135" s="174"/>
      <c r="L135" s="171"/>
      <c r="M135" s="171"/>
    </row>
    <row r="136" spans="7:13" ht="15">
      <c r="G136" s="174"/>
      <c r="H136" s="174"/>
      <c r="I136" s="174"/>
      <c r="J136" s="174"/>
      <c r="K136" s="174"/>
      <c r="L136" s="171"/>
      <c r="M136" s="171"/>
    </row>
    <row r="137" spans="7:13" ht="15">
      <c r="G137" s="174"/>
      <c r="H137" s="174"/>
      <c r="I137" s="174"/>
      <c r="J137" s="174"/>
      <c r="K137" s="174"/>
      <c r="L137" s="171"/>
      <c r="M137" s="171"/>
    </row>
    <row r="138" spans="7:13" ht="15">
      <c r="G138" s="174"/>
      <c r="H138" s="174"/>
      <c r="I138" s="174"/>
      <c r="J138" s="174"/>
      <c r="K138" s="174"/>
      <c r="L138" s="171"/>
      <c r="M138" s="171"/>
    </row>
    <row r="139" spans="7:13" ht="15">
      <c r="G139" s="174"/>
      <c r="H139" s="174"/>
      <c r="I139" s="174"/>
      <c r="J139" s="174"/>
      <c r="K139" s="174"/>
      <c r="L139" s="171"/>
      <c r="M139" s="171"/>
    </row>
    <row r="140" spans="7:13" ht="15">
      <c r="G140" s="174"/>
      <c r="H140" s="174"/>
      <c r="I140" s="174"/>
      <c r="J140" s="174"/>
      <c r="K140" s="174"/>
      <c r="L140" s="171"/>
      <c r="M140" s="171"/>
    </row>
    <row r="141" spans="7:13" ht="15">
      <c r="G141" s="174"/>
      <c r="H141" s="174"/>
      <c r="I141" s="174"/>
      <c r="J141" s="174"/>
      <c r="K141" s="174"/>
      <c r="L141" s="171"/>
      <c r="M141" s="171"/>
    </row>
    <row r="142" spans="7:13" ht="15">
      <c r="G142" s="174"/>
      <c r="H142" s="174"/>
      <c r="I142" s="174"/>
      <c r="J142" s="174"/>
      <c r="K142" s="174"/>
      <c r="L142" s="171"/>
      <c r="M142" s="171"/>
    </row>
    <row r="143" spans="7:13" ht="15">
      <c r="G143" s="174"/>
      <c r="H143" s="174"/>
      <c r="I143" s="174"/>
      <c r="J143" s="174"/>
      <c r="K143" s="174"/>
      <c r="L143" s="171"/>
      <c r="M143" s="171"/>
    </row>
    <row r="144" spans="7:13" ht="15">
      <c r="G144" s="174"/>
      <c r="H144" s="174"/>
      <c r="I144" s="174"/>
      <c r="J144" s="174"/>
      <c r="K144" s="174"/>
      <c r="L144" s="171"/>
      <c r="M144" s="171"/>
    </row>
    <row r="145" spans="7:13" ht="15">
      <c r="G145" s="174"/>
      <c r="H145" s="174"/>
      <c r="I145" s="174"/>
      <c r="J145" s="174"/>
      <c r="K145" s="174"/>
      <c r="L145" s="171"/>
      <c r="M145" s="171"/>
    </row>
    <row r="146" spans="7:13" ht="15">
      <c r="G146" s="174"/>
      <c r="H146" s="174"/>
      <c r="I146" s="174"/>
      <c r="J146" s="174"/>
      <c r="K146" s="174"/>
      <c r="L146" s="171"/>
      <c r="M146" s="171"/>
    </row>
    <row r="147" spans="7:13" ht="15">
      <c r="G147" s="174"/>
      <c r="H147" s="174"/>
      <c r="I147" s="174"/>
      <c r="J147" s="174"/>
      <c r="K147" s="174"/>
      <c r="L147" s="171"/>
      <c r="M147" s="171"/>
    </row>
    <row r="148" spans="7:13" ht="15">
      <c r="G148" s="174"/>
      <c r="H148" s="174"/>
      <c r="I148" s="174"/>
      <c r="J148" s="174"/>
      <c r="K148" s="174"/>
      <c r="L148" s="171"/>
      <c r="M148" s="171"/>
    </row>
    <row r="149" spans="7:13" ht="15">
      <c r="G149" s="174"/>
      <c r="H149" s="174"/>
      <c r="I149" s="174"/>
      <c r="J149" s="174"/>
      <c r="K149" s="174"/>
      <c r="L149" s="171"/>
      <c r="M149" s="171"/>
    </row>
    <row r="150" spans="7:13" ht="15">
      <c r="G150" s="174"/>
      <c r="H150" s="174"/>
      <c r="I150" s="174"/>
      <c r="J150" s="174"/>
      <c r="K150" s="174"/>
      <c r="L150" s="171"/>
      <c r="M150" s="171"/>
    </row>
    <row r="151" spans="7:13" ht="15">
      <c r="G151" s="174"/>
      <c r="H151" s="174"/>
      <c r="I151" s="174"/>
      <c r="J151" s="174"/>
      <c r="K151" s="174"/>
      <c r="L151" s="171"/>
      <c r="M151" s="171"/>
    </row>
    <row r="152" spans="7:13" ht="15">
      <c r="G152" s="174"/>
      <c r="H152" s="174"/>
      <c r="I152" s="174"/>
      <c r="J152" s="174"/>
      <c r="K152" s="174"/>
      <c r="L152" s="171"/>
      <c r="M152" s="171"/>
    </row>
    <row r="153" spans="7:13" ht="15">
      <c r="G153" s="174"/>
      <c r="H153" s="174"/>
      <c r="I153" s="174"/>
      <c r="J153" s="174"/>
      <c r="K153" s="174"/>
      <c r="L153" s="171"/>
      <c r="M153" s="171"/>
    </row>
    <row r="154" spans="7:13" ht="15">
      <c r="G154" s="174"/>
      <c r="H154" s="174"/>
      <c r="I154" s="174"/>
      <c r="J154" s="174"/>
      <c r="K154" s="174"/>
      <c r="L154" s="171"/>
      <c r="M154" s="171"/>
    </row>
    <row r="155" spans="7:13" ht="15">
      <c r="G155" s="174"/>
      <c r="H155" s="174"/>
      <c r="I155" s="174"/>
      <c r="J155" s="174"/>
      <c r="K155" s="174"/>
      <c r="L155" s="171"/>
      <c r="M155" s="171"/>
    </row>
    <row r="156" spans="7:13" ht="15">
      <c r="G156" s="174"/>
      <c r="H156" s="174"/>
      <c r="I156" s="174"/>
      <c r="J156" s="174"/>
      <c r="K156" s="174"/>
      <c r="L156" s="171"/>
      <c r="M156" s="171"/>
    </row>
    <row r="157" spans="7:13" ht="15">
      <c r="G157" s="174"/>
      <c r="H157" s="174"/>
      <c r="I157" s="174"/>
      <c r="J157" s="174"/>
      <c r="K157" s="174"/>
      <c r="L157" s="171"/>
      <c r="M157" s="171"/>
    </row>
    <row r="158" spans="7:13" ht="15">
      <c r="G158" s="174"/>
      <c r="H158" s="174"/>
      <c r="I158" s="174"/>
      <c r="J158" s="174"/>
      <c r="K158" s="174"/>
      <c r="L158" s="171"/>
      <c r="M158" s="171"/>
    </row>
    <row r="159" spans="7:13" ht="15">
      <c r="G159" s="174"/>
      <c r="H159" s="174"/>
      <c r="I159" s="174"/>
      <c r="J159" s="174"/>
      <c r="K159" s="174"/>
      <c r="L159" s="171"/>
      <c r="M159" s="171"/>
    </row>
    <row r="160" spans="8:13" ht="15">
      <c r="H160" s="174"/>
      <c r="I160" s="174"/>
      <c r="J160" s="174"/>
      <c r="K160" s="174"/>
      <c r="L160" s="171"/>
      <c r="M160" s="171"/>
    </row>
  </sheetData>
  <sheetProtection password="83EF" sheet="1"/>
  <mergeCells count="43">
    <mergeCell ref="C54:E54"/>
    <mergeCell ref="C41:E41"/>
    <mergeCell ref="B37:B38"/>
    <mergeCell ref="D38:E38"/>
    <mergeCell ref="F37:M37"/>
    <mergeCell ref="B39:B40"/>
    <mergeCell ref="D39:E39"/>
    <mergeCell ref="C37:E37"/>
    <mergeCell ref="I13:M13"/>
    <mergeCell ref="D23:E23"/>
    <mergeCell ref="D22:E22"/>
    <mergeCell ref="F21:M21"/>
    <mergeCell ref="C18:E18"/>
    <mergeCell ref="D19:E19"/>
    <mergeCell ref="I22:M22"/>
    <mergeCell ref="D59:E59"/>
    <mergeCell ref="D55:E55"/>
    <mergeCell ref="D56:E56"/>
    <mergeCell ref="D57:E57"/>
    <mergeCell ref="D58:E58"/>
    <mergeCell ref="C8:E8"/>
    <mergeCell ref="C9:E9"/>
    <mergeCell ref="D21:E21"/>
    <mergeCell ref="D34:E34"/>
    <mergeCell ref="D26:E26"/>
    <mergeCell ref="D27:E27"/>
    <mergeCell ref="D24:E24"/>
    <mergeCell ref="D15:H15"/>
    <mergeCell ref="D25:E25"/>
    <mergeCell ref="C3:E3"/>
    <mergeCell ref="C4:E4"/>
    <mergeCell ref="C5:E5"/>
    <mergeCell ref="C7:E7"/>
    <mergeCell ref="D33:E33"/>
    <mergeCell ref="F36:M36"/>
    <mergeCell ref="C10:E10"/>
    <mergeCell ref="D32:E32"/>
    <mergeCell ref="D31:E31"/>
    <mergeCell ref="D20:E20"/>
    <mergeCell ref="D28:E28"/>
    <mergeCell ref="C30:E30"/>
    <mergeCell ref="C36:E36"/>
    <mergeCell ref="D35:E35"/>
  </mergeCells>
  <conditionalFormatting sqref="C39">
    <cfRule type="expression" priority="6" dxfId="414" stopIfTrue="1">
      <formula>C39+D39&lt;&gt;1</formula>
    </cfRule>
  </conditionalFormatting>
  <conditionalFormatting sqref="D39:E39">
    <cfRule type="expression" priority="7" dxfId="414" stopIfTrue="1">
      <formula>C39+D39&lt;&gt;1</formula>
    </cfRule>
  </conditionalFormatting>
  <conditionalFormatting sqref="L21:M21">
    <cfRule type="expression" priority="2" dxfId="9" stopIfTrue="1">
      <formula>H21&lt;&gt;""</formula>
    </cfRule>
  </conditionalFormatting>
  <conditionalFormatting sqref="F21:K21">
    <cfRule type="expression" priority="11" dxfId="9" stopIfTrue="1">
      <formula>C21&lt;&gt;""</formula>
    </cfRule>
  </conditionalFormatting>
  <conditionalFormatting sqref="C43:E43 C49:E51">
    <cfRule type="cellIs" priority="3" dxfId="7" operator="notEqual" stopIfTrue="1">
      <formula>VLOOKUP($C$15,dbAnneeApprentissage,'Apprenti-Lehrling'!#REF!,FALSE)</formula>
    </cfRule>
  </conditionalFormatting>
  <conditionalFormatting sqref="C21">
    <cfRule type="cellIs" priority="4" dxfId="415" operator="equal" stopIfTrue="1">
      <formula>""""""</formula>
    </cfRule>
    <cfRule type="cellIs" priority="5" dxfId="414" operator="lessThan" stopIfTrue="1">
      <formula>$C$20</formula>
    </cfRule>
  </conditionalFormatting>
  <conditionalFormatting sqref="F36:M37">
    <cfRule type="expression" priority="15" dxfId="413" stopIfTrue="1">
      <formula>F36&lt;&gt;""</formula>
    </cfRule>
  </conditionalFormatting>
  <conditionalFormatting sqref="C46:E46">
    <cfRule type="cellIs" priority="1" dxfId="7" operator="notEqual" stopIfTrue="1">
      <formula>VLOOKUP($C$15,dbAnneeApprentissage,'Apprenti-Lehrling'!#REF!,FALSE)</formula>
    </cfRule>
  </conditionalFormatting>
  <hyperlinks>
    <hyperlink ref="I13" r:id="rId1" display="http://www.formationprof.ch/download/am4.pdf"/>
  </hyperlinks>
  <printOptions/>
  <pageMargins left="0.3937007874015748" right="0.3937007874015748" top="0.3937007874015748" bottom="0.3937007874015748" header="0.5118110236220472" footer="0.31496062992125984"/>
  <pageSetup fitToHeight="1" fitToWidth="1" horizontalDpi="600" verticalDpi="600" orientation="portrait" paperSize="9" scale="91" r:id="rId3"/>
  <headerFooter alignWithMargins="0">
    <oddFooter>&amp;C&amp;A&amp;RPage &amp;P</oddFooter>
  </headerFooter>
  <drawing r:id="rId2"/>
</worksheet>
</file>

<file path=xl/worksheets/sheet3.xml><?xml version="1.0" encoding="utf-8"?>
<worksheet xmlns="http://schemas.openxmlformats.org/spreadsheetml/2006/main" xmlns:r="http://schemas.openxmlformats.org/officeDocument/2006/relationships">
  <sheetPr codeName="Sheet4"/>
  <dimension ref="A1:T51"/>
  <sheetViews>
    <sheetView zoomScalePageLayoutView="0" workbookViewId="0" topLeftCell="A1">
      <pane xSplit="2" ySplit="8" topLeftCell="C9" activePane="bottomRight" state="frozen"/>
      <selection pane="topLeft" activeCell="C3" sqref="C3:E3"/>
      <selection pane="topRight" activeCell="C3" sqref="C3:E3"/>
      <selection pane="bottomLeft" activeCell="C3" sqref="C3:E3"/>
      <selection pane="bottomRight" activeCell="B10" sqref="B10"/>
    </sheetView>
  </sheetViews>
  <sheetFormatPr defaultColWidth="9.140625" defaultRowHeight="12.75"/>
  <cols>
    <col min="1" max="1" width="4.421875" style="7" hidden="1" customWidth="1"/>
    <col min="2" max="2" width="14.7109375" style="7" customWidth="1"/>
    <col min="3" max="7" width="3.7109375" style="7" customWidth="1"/>
    <col min="8" max="9" width="8.7109375" style="8" customWidth="1"/>
    <col min="10" max="10" width="38.7109375" style="7" customWidth="1"/>
    <col min="11" max="11" width="2.7109375" style="7" hidden="1" customWidth="1"/>
    <col min="12" max="12" width="27.421875" style="9" customWidth="1"/>
    <col min="13" max="13" width="12.140625" style="9" customWidth="1"/>
    <col min="14" max="14" width="12.7109375" style="9" customWidth="1"/>
    <col min="15" max="15" width="12.7109375" style="33" customWidth="1"/>
    <col min="16" max="16" width="11.00390625" style="9" customWidth="1"/>
    <col min="17" max="17" width="12.7109375" style="9" customWidth="1"/>
    <col min="18" max="16384" width="9.140625" style="7" customWidth="1"/>
  </cols>
  <sheetData>
    <row r="1" spans="1:17" s="10" customFormat="1" ht="17.25" thickBot="1">
      <c r="A1" s="163">
        <v>200</v>
      </c>
      <c r="B1" s="430" t="str">
        <f>VLOOKUP(A1,Tb_Traduction,DB_Langue,FALSE)</f>
        <v>Agenda</v>
      </c>
      <c r="C1" s="431"/>
      <c r="D1" s="431"/>
      <c r="E1" s="431"/>
      <c r="F1" s="431"/>
      <c r="G1" s="431"/>
      <c r="H1" s="431"/>
      <c r="I1" s="431"/>
      <c r="J1" s="432"/>
      <c r="L1" s="433" t="str">
        <f>VLOOKUP(A1+1,Tb_Traduction,DB_Langue,FALSE)</f>
        <v>Monatliche Lohnabrechnung</v>
      </c>
      <c r="M1" s="434"/>
      <c r="N1" s="434"/>
      <c r="O1" s="434"/>
      <c r="P1" s="434"/>
      <c r="Q1" s="435"/>
    </row>
    <row r="2" spans="1:17" s="10" customFormat="1" ht="17.25" thickBot="1">
      <c r="A2" s="163">
        <v>202</v>
      </c>
      <c r="B2" s="175" t="str">
        <f>VLOOKUP(A2,Tb_Traduction,DB_Langue,FALSE)</f>
        <v>Lerndende / r</v>
      </c>
      <c r="C2" s="495" t="str">
        <f>"- "&amp;TRIM(DB_Apprenti)&amp;" -"</f>
        <v>-  -</v>
      </c>
      <c r="D2" s="495"/>
      <c r="E2" s="495"/>
      <c r="F2" s="495"/>
      <c r="G2" s="495"/>
      <c r="H2" s="495"/>
      <c r="I2" s="495"/>
      <c r="J2" s="496"/>
      <c r="L2" s="152"/>
      <c r="M2" s="152"/>
      <c r="N2" s="152"/>
      <c r="O2" s="152"/>
      <c r="P2" s="152"/>
      <c r="Q2" s="152"/>
    </row>
    <row r="3" spans="1:17" ht="15" customHeight="1">
      <c r="A3" s="163">
        <v>203</v>
      </c>
      <c r="B3" s="438">
        <f>DATE(DB_Annee,8,1)</f>
        <v>43678</v>
      </c>
      <c r="C3" s="507" t="str">
        <f>VLOOKUP(A4,Tb_Traduction,DB_Langue,FALSE)</f>
        <v>[ a-b-c-d-e-f-g-h-i ]</v>
      </c>
      <c r="D3" s="444" t="str">
        <f>VLOOKUP(A4+1,Tb_Traduction,DB_Langue,FALSE)</f>
        <v>Übernachtung</v>
      </c>
      <c r="E3" s="447" t="str">
        <f>VLOOKUP(A4+2,Tb_Traduction,DB_Langue,FALSE)</f>
        <v>Morgenessen</v>
      </c>
      <c r="F3" s="447" t="str">
        <f>VLOOKUP(A4+3,Tb_Traduction,DB_Langue,FALSE)</f>
        <v>Mittagessen</v>
      </c>
      <c r="G3" s="413" t="str">
        <f>VLOOKUP(A4+4,Tb_Traduction,DB_Langue,FALSE)</f>
        <v>Abendessen</v>
      </c>
      <c r="H3" s="497" t="str">
        <f>VLOOKUP(A4+5,Tb_Traduction,DB_Langue,FALSE)</f>
        <v>Betrag Naturallohn</v>
      </c>
      <c r="I3" s="500" t="str">
        <f>VLOOKUP(A4+6,Tb_Traduction,DB_Langue,FALSE)</f>
        <v>Angepasster Betrag</v>
      </c>
      <c r="J3" s="503" t="str">
        <f>VLOOKUP(A4+7,Tb_Traduction,DB_Langue,FALSE)</f>
        <v>Kommentar
a = Arbeitstag
b = Schultag
c = überbetrieblicher Kurs (üK)
d = Freitag
e = Ferientag
f = 1/2 Arbeitstag, 1/2 Freitag
g = Unfall (ganz Tag)
h = Krankheit (ganz Tag)
i = Miltär</v>
      </c>
      <c r="L3" s="36" t="str">
        <f>VLOOKUP(A3,Tb_Traduction,DB_Langue,FALSE)</f>
        <v>Monat:</v>
      </c>
      <c r="M3" s="436">
        <f>B3</f>
        <v>43678</v>
      </c>
      <c r="N3" s="436"/>
      <c r="O3" s="437" t="str">
        <f>VLOOKUP(A3+1,Tb_Traduction,DB_Langue,FALSE)</f>
        <v>Jahr:</v>
      </c>
      <c r="P3" s="437"/>
      <c r="Q3" s="176">
        <f>B3</f>
        <v>43678</v>
      </c>
    </row>
    <row r="4" spans="1:17" s="10" customFormat="1" ht="15">
      <c r="A4" s="163">
        <v>210</v>
      </c>
      <c r="B4" s="439"/>
      <c r="C4" s="508"/>
      <c r="D4" s="445"/>
      <c r="E4" s="448"/>
      <c r="F4" s="448"/>
      <c r="G4" s="414"/>
      <c r="H4" s="498"/>
      <c r="I4" s="501"/>
      <c r="J4" s="504"/>
      <c r="L4" s="34"/>
      <c r="M4" s="34"/>
      <c r="N4" s="37"/>
      <c r="O4" s="36"/>
      <c r="P4" s="11"/>
      <c r="Q4" s="11"/>
    </row>
    <row r="5" spans="1:17" s="10" customFormat="1" ht="15">
      <c r="A5" s="163">
        <v>220</v>
      </c>
      <c r="B5" s="439"/>
      <c r="C5" s="508"/>
      <c r="D5" s="445"/>
      <c r="E5" s="448"/>
      <c r="F5" s="448"/>
      <c r="G5" s="414"/>
      <c r="H5" s="498"/>
      <c r="I5" s="501"/>
      <c r="J5" s="504"/>
      <c r="L5" s="36" t="str">
        <f>VLOOKUP(A5,Tb_Traduction,DB_Langue,FALSE)</f>
        <v>Berufsbildner</v>
      </c>
      <c r="M5" s="416">
        <f>TRIM(DB_Maitre)</f>
      </c>
      <c r="N5" s="416"/>
      <c r="O5" s="416"/>
      <c r="P5" s="416"/>
      <c r="Q5" s="416"/>
    </row>
    <row r="6" spans="1:17" s="10" customFormat="1" ht="15">
      <c r="A6" s="163">
        <v>221</v>
      </c>
      <c r="B6" s="439"/>
      <c r="C6" s="508"/>
      <c r="D6" s="445"/>
      <c r="E6" s="448"/>
      <c r="F6" s="448"/>
      <c r="G6" s="414"/>
      <c r="H6" s="498"/>
      <c r="I6" s="501"/>
      <c r="J6" s="504"/>
      <c r="L6" s="36" t="str">
        <f>VLOOKUP(A6,Tb_Traduction,DB_Langue,FALSE)</f>
        <v>Ort</v>
      </c>
      <c r="M6" s="417">
        <f>TRIM(DB_MaitreLieu)</f>
      </c>
      <c r="N6" s="417"/>
      <c r="O6" s="417"/>
      <c r="P6" s="417"/>
      <c r="Q6" s="417"/>
    </row>
    <row r="7" spans="1:17" s="10" customFormat="1" ht="15">
      <c r="A7" s="163">
        <v>222</v>
      </c>
      <c r="B7" s="439"/>
      <c r="C7" s="508"/>
      <c r="D7" s="445"/>
      <c r="E7" s="448"/>
      <c r="F7" s="448"/>
      <c r="G7" s="414"/>
      <c r="H7" s="498"/>
      <c r="I7" s="501"/>
      <c r="J7" s="504"/>
      <c r="L7" s="36" t="str">
        <f>VLOOKUP(A7,Tb_Traduction,DB_Langue,FALSE)</f>
        <v>Lernende / r</v>
      </c>
      <c r="M7" s="417">
        <f>TRIM(DB_Apprenti)</f>
      </c>
      <c r="N7" s="417"/>
      <c r="O7" s="417"/>
      <c r="P7" s="417"/>
      <c r="Q7" s="417"/>
    </row>
    <row r="8" spans="1:17" ht="15.75" thickBot="1">
      <c r="A8" s="163">
        <v>223</v>
      </c>
      <c r="B8" s="440"/>
      <c r="C8" s="509"/>
      <c r="D8" s="446"/>
      <c r="E8" s="449"/>
      <c r="F8" s="449"/>
      <c r="G8" s="415"/>
      <c r="H8" s="499"/>
      <c r="I8" s="502"/>
      <c r="J8" s="505"/>
      <c r="L8" s="36" t="str">
        <f>VLOOKUP(A8,Tb_Traduction,DB_Langue,FALSE)</f>
        <v>AHV-Nummer</v>
      </c>
      <c r="M8" s="417">
        <f>TRIM(DB_AVS)</f>
      </c>
      <c r="N8" s="417"/>
      <c r="P8" s="3" t="str">
        <f>VLOOKUP(A8+1,Tb_Traduction,DB_Langue,FALSE)</f>
        <v>Geburtsdatum</v>
      </c>
      <c r="Q8" s="42">
        <f>IF(DB_DateNaissance=0,"",DB_DateNaissance)</f>
      </c>
    </row>
    <row r="9" spans="1:11" ht="15">
      <c r="A9" s="10"/>
      <c r="B9" s="87">
        <f>B3</f>
        <v>43678</v>
      </c>
      <c r="C9" s="154"/>
      <c r="D9" s="359"/>
      <c r="E9" s="268"/>
      <c r="F9" s="268"/>
      <c r="G9" s="269"/>
      <c r="H9" s="12">
        <f aca="true" t="shared" si="0" ref="H9:H39">MAX(IF(C9="a",PN_Travail,IF(C9="b",PN_CoursProf,IF(C9="c",PN_CoursIE,IF(C9="d",PN_Conge,0)))),IF(C9="e",PN_Vacances,IF(C9="f",PN_DemiJour,IF(C9="g",PN_Accident,IF(C9="h",PN_Maladie,IF(C9="i",PN_Armee,0))))))</f>
        <v>0</v>
      </c>
      <c r="I9" s="13">
        <f aca="true" t="shared" si="1" ref="I9:I39">H9+D9*PN_Logis+E9*PN_Dejeuner+F9*PN_Diner+G9*PN_Souper</f>
        <v>0</v>
      </c>
      <c r="J9" s="161"/>
      <c r="K9" s="14"/>
    </row>
    <row r="10" spans="1:10" ht="15">
      <c r="A10" s="10"/>
      <c r="B10" s="15">
        <f>B9+1</f>
        <v>43679</v>
      </c>
      <c r="C10" s="154"/>
      <c r="D10" s="359"/>
      <c r="E10" s="268"/>
      <c r="F10" s="268"/>
      <c r="G10" s="269"/>
      <c r="H10" s="12">
        <f t="shared" si="0"/>
        <v>0</v>
      </c>
      <c r="I10" s="13">
        <f t="shared" si="1"/>
        <v>0</v>
      </c>
      <c r="J10" s="190"/>
    </row>
    <row r="11" spans="1:17" ht="15">
      <c r="A11" s="163">
        <v>230</v>
      </c>
      <c r="B11" s="15">
        <f aca="true" t="shared" si="2" ref="B11:B39">B10+1</f>
        <v>43680</v>
      </c>
      <c r="C11" s="154"/>
      <c r="D11" s="359"/>
      <c r="E11" s="268"/>
      <c r="F11" s="268"/>
      <c r="G11" s="269"/>
      <c r="H11" s="12">
        <f t="shared" si="0"/>
        <v>0</v>
      </c>
      <c r="I11" s="13">
        <f t="shared" si="1"/>
        <v>0</v>
      </c>
      <c r="J11" s="190"/>
      <c r="L11" s="39" t="str">
        <f>VLOOKUP(A11,Tb_Traduction,DB_Langue,FALSE)</f>
        <v>Bruttolohn  </v>
      </c>
      <c r="M11" s="34" t="e">
        <f>IF(PN_EffMoy=0,SUBSTITUTE(VLOOKUP(A11+1,Tb_Traduction,DB_Langue,FALSE),"***",TEXT(J40,"0.00")),"")</f>
        <v>#N/A</v>
      </c>
      <c r="N11" s="34"/>
      <c r="O11" s="38"/>
      <c r="P11" s="45"/>
      <c r="Q11" s="49" t="e">
        <f>IF(OR(PN_EffMoy=0,Nb_Mois&lt;&gt;12),Sa_BaseMensuelArrondi/H42*C40,Sa_BaseMensuelArrondi*PN_SalMoyAout)</f>
        <v>#N/A</v>
      </c>
    </row>
    <row r="12" spans="1:17" ht="15">
      <c r="A12" s="163">
        <v>232</v>
      </c>
      <c r="B12" s="15">
        <f t="shared" si="2"/>
        <v>43681</v>
      </c>
      <c r="C12" s="154"/>
      <c r="D12" s="359"/>
      <c r="E12" s="268"/>
      <c r="F12" s="268"/>
      <c r="G12" s="269"/>
      <c r="H12" s="12">
        <f t="shared" si="0"/>
        <v>0</v>
      </c>
      <c r="I12" s="13">
        <f t="shared" si="1"/>
        <v>0</v>
      </c>
      <c r="J12" s="190"/>
      <c r="L12" s="9" t="str">
        <f>VLOOKUP(A12,Tb_Traduction,DB_Langue,FALSE)</f>
        <v>Prämie, Bonus, Gratifikation</v>
      </c>
      <c r="Q12" s="155"/>
    </row>
    <row r="13" spans="1:20" ht="15">
      <c r="A13" s="163">
        <v>233</v>
      </c>
      <c r="B13" s="15">
        <f t="shared" si="2"/>
        <v>43682</v>
      </c>
      <c r="C13" s="154"/>
      <c r="D13" s="359"/>
      <c r="E13" s="268"/>
      <c r="F13" s="268"/>
      <c r="G13" s="269"/>
      <c r="H13" s="12">
        <f t="shared" si="0"/>
        <v>0</v>
      </c>
      <c r="I13" s="13">
        <f t="shared" si="1"/>
        <v>0</v>
      </c>
      <c r="J13" s="190"/>
      <c r="L13" s="88" t="str">
        <f>VLOOKUP(A13,Tb_Traduction,DB_Langue,FALSE)</f>
        <v>Bruttolohn total</v>
      </c>
      <c r="Q13" s="89" t="e">
        <f>SUM(Q11:Q12)</f>
        <v>#N/A</v>
      </c>
      <c r="T13" s="381"/>
    </row>
    <row r="14" spans="1:10" ht="15">
      <c r="A14" s="10"/>
      <c r="B14" s="15">
        <f t="shared" si="2"/>
        <v>43683</v>
      </c>
      <c r="C14" s="154"/>
      <c r="D14" s="359"/>
      <c r="E14" s="268"/>
      <c r="F14" s="268"/>
      <c r="G14" s="269"/>
      <c r="H14" s="12">
        <f t="shared" si="0"/>
        <v>0</v>
      </c>
      <c r="I14" s="13">
        <f t="shared" si="1"/>
        <v>0</v>
      </c>
      <c r="J14" s="190"/>
    </row>
    <row r="15" spans="1:17" ht="15">
      <c r="A15" s="163">
        <v>240</v>
      </c>
      <c r="B15" s="15">
        <f t="shared" si="2"/>
        <v>43684</v>
      </c>
      <c r="C15" s="154"/>
      <c r="D15" s="359"/>
      <c r="E15" s="268"/>
      <c r="F15" s="268"/>
      <c r="G15" s="269"/>
      <c r="H15" s="12">
        <f t="shared" si="0"/>
        <v>0</v>
      </c>
      <c r="I15" s="13">
        <f t="shared" si="1"/>
        <v>0</v>
      </c>
      <c r="J15" s="190"/>
      <c r="L15" s="39" t="str">
        <f aca="true" t="shared" si="3" ref="L15:L22">VLOOKUP(A15,Tb_Traduction,DB_Langue,FALSE)</f>
        <v>Abzüge</v>
      </c>
      <c r="M15" s="11" t="str">
        <f>VLOOKUP(A15+1,Tb_Traduction,DB_Langue,FALSE)</f>
        <v>Anteil</v>
      </c>
      <c r="N15" s="11" t="s">
        <v>37</v>
      </c>
      <c r="O15" s="38"/>
      <c r="P15" s="45"/>
      <c r="Q15" s="46"/>
    </row>
    <row r="16" spans="1:17" ht="15">
      <c r="A16" s="163">
        <v>242</v>
      </c>
      <c r="B16" s="15">
        <f t="shared" si="2"/>
        <v>43685</v>
      </c>
      <c r="C16" s="154"/>
      <c r="D16" s="359"/>
      <c r="E16" s="268"/>
      <c r="F16" s="268"/>
      <c r="G16" s="269"/>
      <c r="H16" s="12">
        <f t="shared" si="0"/>
        <v>0</v>
      </c>
      <c r="I16" s="13">
        <f t="shared" si="1"/>
        <v>0</v>
      </c>
      <c r="J16" s="190"/>
      <c r="L16" s="48" t="str">
        <f t="shared" si="3"/>
        <v>Beiträge AHV, IV, EO*:</v>
      </c>
      <c r="M16" s="43" t="s">
        <v>50</v>
      </c>
      <c r="N16" s="44">
        <f>IF(B3&gt;=DB_SoumisAVS,RS_AVS,0)</f>
        <v>0.05125</v>
      </c>
      <c r="O16" s="38"/>
      <c r="P16" s="50" t="e">
        <f>$Q$13*N16</f>
        <v>#N/A</v>
      </c>
      <c r="Q16" s="46"/>
    </row>
    <row r="17" spans="1:17" ht="15">
      <c r="A17" s="163">
        <v>243</v>
      </c>
      <c r="B17" s="15">
        <f t="shared" si="2"/>
        <v>43686</v>
      </c>
      <c r="C17" s="154"/>
      <c r="D17" s="359"/>
      <c r="E17" s="268"/>
      <c r="F17" s="268"/>
      <c r="G17" s="269"/>
      <c r="H17" s="12">
        <f t="shared" si="0"/>
        <v>0</v>
      </c>
      <c r="I17" s="13">
        <f t="shared" si="1"/>
        <v>0</v>
      </c>
      <c r="J17" s="190"/>
      <c r="L17" s="48" t="str">
        <f t="shared" si="3"/>
        <v>Beiträge ALV*:</v>
      </c>
      <c r="M17" s="43" t="s">
        <v>50</v>
      </c>
      <c r="N17" s="44">
        <f>IF(B3&gt;=DB_SoumisAVS,RS_AC,0)</f>
        <v>0.011</v>
      </c>
      <c r="O17" s="38"/>
      <c r="P17" s="50" t="e">
        <f>$Q$13*N17</f>
        <v>#N/A</v>
      </c>
      <c r="Q17" s="46"/>
    </row>
    <row r="18" spans="1:17" ht="15">
      <c r="A18" s="163">
        <v>244</v>
      </c>
      <c r="B18" s="15">
        <f t="shared" si="2"/>
        <v>43687</v>
      </c>
      <c r="C18" s="154"/>
      <c r="D18" s="359"/>
      <c r="E18" s="268"/>
      <c r="F18" s="268"/>
      <c r="G18" s="269"/>
      <c r="H18" s="12">
        <f t="shared" si="0"/>
        <v>0</v>
      </c>
      <c r="I18" s="13">
        <f t="shared" si="1"/>
        <v>0</v>
      </c>
      <c r="J18" s="190"/>
      <c r="L18" s="48" t="str">
        <f t="shared" si="3"/>
        <v>Nichtbetriebsunfall:</v>
      </c>
      <c r="M18" s="43" t="s">
        <v>244</v>
      </c>
      <c r="N18" s="44">
        <f>RS_ANP</f>
        <v>0.01641</v>
      </c>
      <c r="O18" s="38"/>
      <c r="P18" s="51" t="e">
        <f>$Q$13*N18</f>
        <v>#N/A</v>
      </c>
      <c r="Q18" s="46"/>
    </row>
    <row r="19" spans="1:17" ht="15">
      <c r="A19" s="163">
        <v>245</v>
      </c>
      <c r="B19" s="15">
        <f t="shared" si="2"/>
        <v>43688</v>
      </c>
      <c r="C19" s="154"/>
      <c r="D19" s="359"/>
      <c r="E19" s="268"/>
      <c r="F19" s="268"/>
      <c r="G19" s="269"/>
      <c r="H19" s="12">
        <f t="shared" si="0"/>
        <v>0</v>
      </c>
      <c r="I19" s="13">
        <f t="shared" si="1"/>
        <v>0</v>
      </c>
      <c r="J19" s="190"/>
      <c r="L19" s="48" t="str">
        <f t="shared" si="3"/>
        <v>Krankentaggeld:</v>
      </c>
      <c r="M19" s="43" t="s">
        <v>50</v>
      </c>
      <c r="N19" s="44">
        <f>RS_MC</f>
        <v>0.0044</v>
      </c>
      <c r="O19" s="38"/>
      <c r="P19" s="50" t="e">
        <f>$Q$13*N19</f>
        <v>#N/A</v>
      </c>
      <c r="Q19" s="46"/>
    </row>
    <row r="20" spans="1:16" ht="15">
      <c r="A20" s="163">
        <v>246</v>
      </c>
      <c r="B20" s="15">
        <f t="shared" si="2"/>
        <v>43689</v>
      </c>
      <c r="C20" s="154"/>
      <c r="D20" s="359"/>
      <c r="E20" s="268"/>
      <c r="F20" s="268"/>
      <c r="G20" s="269"/>
      <c r="H20" s="12">
        <f t="shared" si="0"/>
        <v>0</v>
      </c>
      <c r="I20" s="13">
        <f t="shared" si="1"/>
        <v>0</v>
      </c>
      <c r="J20" s="190"/>
      <c r="L20" s="48" t="str">
        <f t="shared" si="3"/>
        <v>Anderer Abzug:</v>
      </c>
      <c r="M20" s="511"/>
      <c r="N20" s="511"/>
      <c r="O20" s="38"/>
      <c r="P20" s="160"/>
    </row>
    <row r="21" spans="1:16" ht="15">
      <c r="A21" s="163">
        <v>247</v>
      </c>
      <c r="B21" s="15">
        <f t="shared" si="2"/>
        <v>43690</v>
      </c>
      <c r="C21" s="154"/>
      <c r="D21" s="359"/>
      <c r="E21" s="268"/>
      <c r="F21" s="268"/>
      <c r="G21" s="269"/>
      <c r="H21" s="12">
        <f t="shared" si="0"/>
        <v>0</v>
      </c>
      <c r="I21" s="13">
        <f t="shared" si="1"/>
        <v>0</v>
      </c>
      <c r="J21" s="190"/>
      <c r="L21" s="38" t="e">
        <f>VLOOKUP(A21+PN_EffMoy,Tb_Traduction,DB_Langue,FALSE)</f>
        <v>#N/A</v>
      </c>
      <c r="M21" s="34"/>
      <c r="N21" s="34"/>
      <c r="O21" s="38"/>
      <c r="P21" s="50" t="e">
        <f>IF(PN_EffMoy=0,I40,IF(Nb_Mois=12,Sa_NatureMensuelArrondi*PN_SalMoyAout,Sa_NatureMensuelArrondi*C40/H42))</f>
        <v>#N/A</v>
      </c>
    </row>
    <row r="22" spans="1:16" ht="15">
      <c r="A22" s="163">
        <v>249</v>
      </c>
      <c r="B22" s="15">
        <f t="shared" si="2"/>
        <v>43691</v>
      </c>
      <c r="C22" s="154"/>
      <c r="D22" s="359"/>
      <c r="E22" s="268"/>
      <c r="F22" s="268"/>
      <c r="G22" s="269"/>
      <c r="H22" s="12">
        <f t="shared" si="0"/>
        <v>0</v>
      </c>
      <c r="I22" s="13">
        <f t="shared" si="1"/>
        <v>0</v>
      </c>
      <c r="J22" s="190"/>
      <c r="L22" s="41" t="str">
        <f t="shared" si="3"/>
        <v>*) sofern pflichtig</v>
      </c>
      <c r="P22" s="47"/>
    </row>
    <row r="23" spans="1:17" ht="15">
      <c r="A23" s="10"/>
      <c r="B23" s="15">
        <f t="shared" si="2"/>
        <v>43692</v>
      </c>
      <c r="C23" s="154"/>
      <c r="D23" s="359"/>
      <c r="E23" s="268"/>
      <c r="F23" s="268"/>
      <c r="G23" s="269"/>
      <c r="H23" s="12">
        <f t="shared" si="0"/>
        <v>0</v>
      </c>
      <c r="I23" s="13">
        <f t="shared" si="1"/>
        <v>0</v>
      </c>
      <c r="J23" s="190"/>
      <c r="Q23" s="46"/>
    </row>
    <row r="24" spans="1:17" ht="15">
      <c r="A24" s="163">
        <v>250</v>
      </c>
      <c r="B24" s="15">
        <f t="shared" si="2"/>
        <v>43693</v>
      </c>
      <c r="C24" s="154"/>
      <c r="D24" s="359"/>
      <c r="E24" s="268"/>
      <c r="F24" s="268"/>
      <c r="G24" s="269"/>
      <c r="H24" s="12">
        <f t="shared" si="0"/>
        <v>0</v>
      </c>
      <c r="I24" s="13">
        <f t="shared" si="1"/>
        <v>0</v>
      </c>
      <c r="J24" s="190"/>
      <c r="L24" s="39" t="str">
        <f>VLOOKUP(A24,Tb_Traduction,DB_Langue,FALSE)</f>
        <v>Total Abzüge</v>
      </c>
      <c r="Q24" s="49" t="e">
        <f>INT((SUM(P16:P21)*20)+0.5)/20</f>
        <v>#N/A</v>
      </c>
    </row>
    <row r="25" spans="1:17" ht="15">
      <c r="A25" s="10"/>
      <c r="B25" s="15">
        <f t="shared" si="2"/>
        <v>43694</v>
      </c>
      <c r="C25" s="154"/>
      <c r="D25" s="359"/>
      <c r="E25" s="268"/>
      <c r="F25" s="268"/>
      <c r="G25" s="269"/>
      <c r="H25" s="12">
        <f t="shared" si="0"/>
        <v>0</v>
      </c>
      <c r="I25" s="13">
        <f t="shared" si="1"/>
        <v>0</v>
      </c>
      <c r="J25" s="190"/>
      <c r="Q25" s="47"/>
    </row>
    <row r="26" spans="1:17" ht="15">
      <c r="A26" s="163">
        <v>251</v>
      </c>
      <c r="B26" s="15">
        <f t="shared" si="2"/>
        <v>43695</v>
      </c>
      <c r="C26" s="154"/>
      <c r="D26" s="359"/>
      <c r="E26" s="268"/>
      <c r="F26" s="268"/>
      <c r="G26" s="269"/>
      <c r="H26" s="12">
        <f t="shared" si="0"/>
        <v>0</v>
      </c>
      <c r="I26" s="13">
        <f t="shared" si="1"/>
        <v>0</v>
      </c>
      <c r="J26" s="190"/>
      <c r="L26" s="39" t="str">
        <f>VLOOKUP(A26,Tb_Traduction,DB_Langue,FALSE)</f>
        <v>Rückvergügungen</v>
      </c>
      <c r="M26" s="34"/>
      <c r="N26" s="34"/>
      <c r="O26" s="38"/>
      <c r="P26" s="45"/>
      <c r="Q26" s="46"/>
    </row>
    <row r="27" spans="1:17" ht="15">
      <c r="A27" s="163">
        <v>252</v>
      </c>
      <c r="B27" s="15">
        <f t="shared" si="2"/>
        <v>43696</v>
      </c>
      <c r="C27" s="154"/>
      <c r="D27" s="359"/>
      <c r="E27" s="268"/>
      <c r="F27" s="268"/>
      <c r="G27" s="269"/>
      <c r="H27" s="12">
        <f t="shared" si="0"/>
        <v>0</v>
      </c>
      <c r="I27" s="13">
        <f t="shared" si="1"/>
        <v>0</v>
      </c>
      <c r="J27" s="190"/>
      <c r="L27" s="38" t="str">
        <f>VLOOKUP(A27,Tb_Traduction,DB_Langue,FALSE)</f>
        <v>Kostenbeteiligungen</v>
      </c>
      <c r="M27" s="511"/>
      <c r="N27" s="511"/>
      <c r="O27" s="38"/>
      <c r="P27" s="159"/>
      <c r="Q27" s="46"/>
    </row>
    <row r="28" spans="1:17" ht="15">
      <c r="A28" s="163">
        <v>253</v>
      </c>
      <c r="B28" s="15">
        <f t="shared" si="2"/>
        <v>43697</v>
      </c>
      <c r="C28" s="154"/>
      <c r="D28" s="359"/>
      <c r="E28" s="268"/>
      <c r="F28" s="268"/>
      <c r="G28" s="269"/>
      <c r="H28" s="12">
        <f t="shared" si="0"/>
        <v>0</v>
      </c>
      <c r="I28" s="13">
        <f t="shared" si="1"/>
        <v>0</v>
      </c>
      <c r="J28" s="190"/>
      <c r="L28" s="38" t="str">
        <f>VLOOKUP(A28,Tb_Traduction,DB_Langue,FALSE)</f>
        <v>Übrige Rückvergütungen</v>
      </c>
      <c r="M28" s="512"/>
      <c r="N28" s="512"/>
      <c r="O28" s="38"/>
      <c r="P28" s="160"/>
      <c r="Q28" s="46"/>
    </row>
    <row r="29" spans="1:10" ht="15">
      <c r="A29" s="10"/>
      <c r="B29" s="15">
        <f t="shared" si="2"/>
        <v>43698</v>
      </c>
      <c r="C29" s="154"/>
      <c r="D29" s="359"/>
      <c r="E29" s="268"/>
      <c r="F29" s="268"/>
      <c r="G29" s="269"/>
      <c r="H29" s="12">
        <f t="shared" si="0"/>
        <v>0</v>
      </c>
      <c r="I29" s="13">
        <f t="shared" si="1"/>
        <v>0</v>
      </c>
      <c r="J29" s="190"/>
    </row>
    <row r="30" spans="1:17" ht="15">
      <c r="A30" s="163">
        <v>254</v>
      </c>
      <c r="B30" s="15">
        <f t="shared" si="2"/>
        <v>43699</v>
      </c>
      <c r="C30" s="154"/>
      <c r="D30" s="359"/>
      <c r="E30" s="268"/>
      <c r="F30" s="268"/>
      <c r="G30" s="269"/>
      <c r="H30" s="12">
        <f t="shared" si="0"/>
        <v>0</v>
      </c>
      <c r="I30" s="13">
        <f t="shared" si="1"/>
        <v>0</v>
      </c>
      <c r="J30" s="190"/>
      <c r="L30" s="39" t="str">
        <f>VLOOKUP(A30,Tb_Traduction,DB_Langue,FALSE)</f>
        <v>Zuschläge</v>
      </c>
      <c r="M30" s="34"/>
      <c r="N30" s="34"/>
      <c r="O30" s="38"/>
      <c r="P30" s="45"/>
      <c r="Q30" s="52">
        <f>SUM(P27:P28)</f>
        <v>0</v>
      </c>
    </row>
    <row r="31" spans="1:17" ht="15">
      <c r="A31" s="10"/>
      <c r="B31" s="15">
        <f t="shared" si="2"/>
        <v>43700</v>
      </c>
      <c r="C31" s="154"/>
      <c r="D31" s="359"/>
      <c r="E31" s="268"/>
      <c r="F31" s="268"/>
      <c r="G31" s="269"/>
      <c r="H31" s="12">
        <f t="shared" si="0"/>
        <v>0</v>
      </c>
      <c r="I31" s="13">
        <f t="shared" si="1"/>
        <v>0</v>
      </c>
      <c r="J31" s="190"/>
      <c r="L31" s="34"/>
      <c r="M31" s="34"/>
      <c r="N31" s="34"/>
      <c r="O31" s="38"/>
      <c r="P31" s="45"/>
      <c r="Q31" s="46"/>
    </row>
    <row r="32" spans="1:17" ht="15">
      <c r="A32" s="163">
        <v>255</v>
      </c>
      <c r="B32" s="15">
        <f t="shared" si="2"/>
        <v>43701</v>
      </c>
      <c r="C32" s="154"/>
      <c r="D32" s="359"/>
      <c r="E32" s="268"/>
      <c r="F32" s="268"/>
      <c r="G32" s="269"/>
      <c r="H32" s="12">
        <f t="shared" si="0"/>
        <v>0</v>
      </c>
      <c r="I32" s="13">
        <f t="shared" si="1"/>
        <v>0</v>
      </c>
      <c r="J32" s="190"/>
      <c r="L32" s="39" t="str">
        <f>VLOOKUP(A32,Tb_Traduction,DB_Langue,FALSE)</f>
        <v>Netto-Auszahlung</v>
      </c>
      <c r="M32" s="34"/>
      <c r="N32" s="34"/>
      <c r="O32" s="38"/>
      <c r="P32" s="45"/>
      <c r="Q32" s="53" t="e">
        <f>Q13+Q30-Q24</f>
        <v>#N/A</v>
      </c>
    </row>
    <row r="33" spans="1:17" ht="15">
      <c r="A33" s="10"/>
      <c r="B33" s="15">
        <f t="shared" si="2"/>
        <v>43702</v>
      </c>
      <c r="C33" s="154"/>
      <c r="D33" s="359"/>
      <c r="E33" s="268"/>
      <c r="F33" s="268"/>
      <c r="G33" s="269"/>
      <c r="H33" s="12">
        <f t="shared" si="0"/>
        <v>0</v>
      </c>
      <c r="I33" s="13">
        <f t="shared" si="1"/>
        <v>0</v>
      </c>
      <c r="J33" s="190"/>
      <c r="L33" s="34"/>
      <c r="M33" s="386" t="str">
        <f>VLOOKUP(A34+1,Tb_Traduction,DB_Langue,FALSE)</f>
        <v>aktueller
Monat</v>
      </c>
      <c r="N33" s="386" t="str">
        <f>VLOOKUP(A34+2,Tb_Traduction,DB_Langue,FALSE)</f>
        <v>Summe der
Vormonate</v>
      </c>
      <c r="O33" s="386" t="str">
        <f>VLOOKUP(A34+3,Tb_Traduction,DB_Langue,FALSE)</f>
        <v>Jahresvor-
anschlag:</v>
      </c>
      <c r="P33" s="510"/>
      <c r="Q33" s="386" t="str">
        <f>VLOOKUP(A34+4,Tb_Traduction,DB_Langue,FALSE)</f>
        <v>Aktueller
Saldo</v>
      </c>
    </row>
    <row r="34" spans="1:17" ht="15">
      <c r="A34" s="163">
        <v>260</v>
      </c>
      <c r="B34" s="15">
        <f t="shared" si="2"/>
        <v>43703</v>
      </c>
      <c r="C34" s="154"/>
      <c r="D34" s="359"/>
      <c r="E34" s="268"/>
      <c r="F34" s="268"/>
      <c r="G34" s="269"/>
      <c r="H34" s="12">
        <f t="shared" si="0"/>
        <v>0</v>
      </c>
      <c r="I34" s="13">
        <f t="shared" si="1"/>
        <v>0</v>
      </c>
      <c r="J34" s="190"/>
      <c r="L34" s="56" t="str">
        <f>VLOOKUP(A34,Tb_Traduction,DB_Langue,FALSE)</f>
        <v>Tagesabrechnung</v>
      </c>
      <c r="M34" s="387"/>
      <c r="N34" s="387"/>
      <c r="O34" s="387"/>
      <c r="P34" s="510"/>
      <c r="Q34" s="387"/>
    </row>
    <row r="35" spans="1:17" ht="15">
      <c r="A35" s="163">
        <v>265</v>
      </c>
      <c r="B35" s="15">
        <f t="shared" si="2"/>
        <v>43704</v>
      </c>
      <c r="C35" s="154"/>
      <c r="D35" s="359"/>
      <c r="E35" s="268"/>
      <c r="F35" s="268"/>
      <c r="G35" s="269"/>
      <c r="H35" s="12">
        <f t="shared" si="0"/>
        <v>0</v>
      </c>
      <c r="I35" s="13">
        <f t="shared" si="1"/>
        <v>0</v>
      </c>
      <c r="J35" s="190"/>
      <c r="L35" s="287" t="str">
        <f>VLOOKUP(A35,Tb_Traduction,DB_Langue,FALSE)</f>
        <v>Arbeit:</v>
      </c>
      <c r="M35" s="262">
        <f aca="true" t="shared" si="4" ref="M35:N37">H43</f>
        <v>0</v>
      </c>
      <c r="N35" s="262">
        <f t="shared" si="4"/>
        <v>0</v>
      </c>
      <c r="O35" s="262" t="e">
        <f>NJ_Travail</f>
        <v>#N/A</v>
      </c>
      <c r="Q35" s="263" t="e">
        <f aca="true" t="shared" si="5" ref="Q35:Q42">O35-N35-M35</f>
        <v>#N/A</v>
      </c>
    </row>
    <row r="36" spans="1:17" ht="15">
      <c r="A36" s="10"/>
      <c r="B36" s="15">
        <f t="shared" si="2"/>
        <v>43705</v>
      </c>
      <c r="C36" s="154"/>
      <c r="D36" s="359"/>
      <c r="E36" s="268"/>
      <c r="F36" s="268"/>
      <c r="G36" s="269"/>
      <c r="H36" s="12">
        <f t="shared" si="0"/>
        <v>0</v>
      </c>
      <c r="I36" s="13">
        <f t="shared" si="1"/>
        <v>0</v>
      </c>
      <c r="J36" s="190"/>
      <c r="L36" s="287" t="str">
        <f>VLOOKUP(A35+1,Tb_Traduction,DB_Langue,FALSE)</f>
        <v>Schultage:</v>
      </c>
      <c r="M36" s="178">
        <f t="shared" si="4"/>
        <v>0</v>
      </c>
      <c r="N36" s="178">
        <f t="shared" si="4"/>
        <v>0</v>
      </c>
      <c r="O36" s="178" t="e">
        <f>NJ_CoursProf</f>
        <v>#N/A</v>
      </c>
      <c r="Q36" s="179" t="e">
        <f t="shared" si="5"/>
        <v>#N/A</v>
      </c>
    </row>
    <row r="37" spans="1:17" ht="15">
      <c r="A37" s="10"/>
      <c r="B37" s="15">
        <f t="shared" si="2"/>
        <v>43706</v>
      </c>
      <c r="C37" s="154"/>
      <c r="D37" s="359"/>
      <c r="E37" s="268"/>
      <c r="F37" s="268"/>
      <c r="G37" s="269"/>
      <c r="H37" s="12">
        <f t="shared" si="0"/>
        <v>0</v>
      </c>
      <c r="I37" s="13">
        <f t="shared" si="1"/>
        <v>0</v>
      </c>
      <c r="J37" s="190"/>
      <c r="L37" s="287" t="str">
        <f>VLOOKUP(A35+2,Tb_Traduction,DB_Langue,FALSE)</f>
        <v>üK:</v>
      </c>
      <c r="M37" s="178">
        <f t="shared" si="4"/>
        <v>0</v>
      </c>
      <c r="N37" s="178">
        <f t="shared" si="4"/>
        <v>0</v>
      </c>
      <c r="O37" s="178" t="e">
        <f>NJ_CoursIE</f>
        <v>#N/A</v>
      </c>
      <c r="Q37" s="179" t="e">
        <f t="shared" si="5"/>
        <v>#N/A</v>
      </c>
    </row>
    <row r="38" spans="1:17" ht="15">
      <c r="A38" s="10"/>
      <c r="B38" s="15">
        <f t="shared" si="2"/>
        <v>43707</v>
      </c>
      <c r="C38" s="154"/>
      <c r="D38" s="359"/>
      <c r="E38" s="268"/>
      <c r="F38" s="268"/>
      <c r="G38" s="269"/>
      <c r="H38" s="12">
        <f t="shared" si="0"/>
        <v>0</v>
      </c>
      <c r="I38" s="13">
        <f t="shared" si="1"/>
        <v>0</v>
      </c>
      <c r="J38" s="190"/>
      <c r="L38" s="287" t="str">
        <f>VLOOKUP(A35+7,Tb_Traduction,DB_Langue,FALSE)</f>
        <v>Militär:</v>
      </c>
      <c r="M38" s="178">
        <f>H46</f>
        <v>0</v>
      </c>
      <c r="N38" s="178">
        <f>I46</f>
        <v>0</v>
      </c>
      <c r="O38" s="178">
        <f>NJ_Bloc</f>
        <v>0</v>
      </c>
      <c r="Q38" s="179">
        <f>O38-N38-M38</f>
        <v>0</v>
      </c>
    </row>
    <row r="39" spans="1:17" ht="15.75" thickBot="1">
      <c r="A39" s="10"/>
      <c r="B39" s="16">
        <f t="shared" si="2"/>
        <v>43708</v>
      </c>
      <c r="C39" s="154"/>
      <c r="D39" s="359"/>
      <c r="E39" s="268"/>
      <c r="F39" s="268"/>
      <c r="G39" s="269"/>
      <c r="H39" s="12">
        <f t="shared" si="0"/>
        <v>0</v>
      </c>
      <c r="I39" s="13">
        <f t="shared" si="1"/>
        <v>0</v>
      </c>
      <c r="J39" s="191"/>
      <c r="L39" s="287" t="str">
        <f>VLOOKUP(A35+3,Tb_Traduction,DB_Langue,FALSE)</f>
        <v>Frei:</v>
      </c>
      <c r="M39" s="262">
        <f aca="true" t="shared" si="6" ref="M39:N42">H47</f>
        <v>0</v>
      </c>
      <c r="N39" s="262">
        <f t="shared" si="6"/>
        <v>0</v>
      </c>
      <c r="O39" s="262" t="e">
        <f>NJ_Conge</f>
        <v>#N/A</v>
      </c>
      <c r="Q39" s="263" t="e">
        <f t="shared" si="5"/>
        <v>#N/A</v>
      </c>
    </row>
    <row r="40" spans="1:17" ht="15.75" thickBot="1">
      <c r="A40" s="163">
        <v>275</v>
      </c>
      <c r="B40" s="335" t="str">
        <f>VLOOKUP(A40,Tb_Traduction,DB_Langue,FALSE)</f>
        <v>Total</v>
      </c>
      <c r="C40" s="336">
        <f>COUNTIF(C9:C39,"a")+COUNTIF(C9:C39,"b")+COUNTIF(C9:C39,"c")+COUNTIF(C9:C39,"d")+COUNTIF(C9:C39,"e")+COUNTIF(C9:C39,"f")+COUNTIF(C9:C39,"g")+COUNTIF(C9:C39,"h")+COUNTIF(C9:C39,"i")</f>
        <v>0</v>
      </c>
      <c r="D40" s="17">
        <f aca="true" t="shared" si="7" ref="D40:I40">SUM(D9:D39)</f>
        <v>0</v>
      </c>
      <c r="E40" s="18">
        <f t="shared" si="7"/>
        <v>0</v>
      </c>
      <c r="F40" s="18">
        <f t="shared" si="7"/>
        <v>0</v>
      </c>
      <c r="G40" s="19">
        <f t="shared" si="7"/>
        <v>0</v>
      </c>
      <c r="H40" s="20">
        <f t="shared" si="7"/>
        <v>0</v>
      </c>
      <c r="I40" s="21">
        <f t="shared" si="7"/>
        <v>0</v>
      </c>
      <c r="J40" s="337" t="e">
        <f>INT(((Sa_NatureMensuel/H42*C40)*20)+0.5)/20</f>
        <v>#N/A</v>
      </c>
      <c r="L40" s="288" t="str">
        <f>VLOOKUP(A35+4,Tb_Traduction,DB_Langue,FALSE)</f>
        <v>Ferien:</v>
      </c>
      <c r="M40" s="289">
        <f t="shared" si="6"/>
        <v>0</v>
      </c>
      <c r="N40" s="289">
        <f t="shared" si="6"/>
        <v>0</v>
      </c>
      <c r="O40" s="289" t="e">
        <f>NJ_Vacances</f>
        <v>#N/A</v>
      </c>
      <c r="Q40" s="290" t="e">
        <f t="shared" si="5"/>
        <v>#N/A</v>
      </c>
    </row>
    <row r="41" spans="1:17" ht="15.75" thickBot="1">
      <c r="A41" s="285">
        <v>277</v>
      </c>
      <c r="B41" s="452"/>
      <c r="C41" s="453"/>
      <c r="D41" s="453"/>
      <c r="E41" s="453"/>
      <c r="F41" s="453"/>
      <c r="G41" s="506"/>
      <c r="H41" s="286">
        <f>B3</f>
        <v>43678</v>
      </c>
      <c r="I41" s="22" t="str">
        <f>VLOOKUP(A41,Tb_Traduction,DB_Langue,FALSE)</f>
        <v>Total</v>
      </c>
      <c r="J41" s="23"/>
      <c r="L41" s="288" t="str">
        <f>VLOOKUP(A35+5,Tb_Traduction,DB_Langue,FALSE)</f>
        <v>Unfall:</v>
      </c>
      <c r="M41" s="289">
        <f t="shared" si="6"/>
        <v>0</v>
      </c>
      <c r="N41" s="289">
        <f t="shared" si="6"/>
        <v>0</v>
      </c>
      <c r="O41" s="289">
        <v>0</v>
      </c>
      <c r="Q41" s="290">
        <f t="shared" si="5"/>
        <v>0</v>
      </c>
    </row>
    <row r="42" spans="1:17" ht="15">
      <c r="A42" s="285">
        <v>280</v>
      </c>
      <c r="B42" s="408" t="str">
        <f aca="true" t="shared" si="8" ref="B42:B50">VLOOKUP(A42,Tb_Traduction,DB_Langue,FALSE)</f>
        <v>Tagesabrechnung</v>
      </c>
      <c r="C42" s="409" t="e">
        <f aca="true" t="shared" si="9" ref="C42:G50">VLOOKUP(B42,Tb_Traduction,DB_Langue,FALSE)</f>
        <v>#N/A</v>
      </c>
      <c r="D42" s="409" t="e">
        <f>VLOOKUP(#REF!,Tb_Traduction,DB_Langue,FALSE)</f>
        <v>#REF!</v>
      </c>
      <c r="E42" s="409" t="e">
        <f t="shared" si="9"/>
        <v>#REF!</v>
      </c>
      <c r="F42" s="409" t="e">
        <f t="shared" si="9"/>
        <v>#REF!</v>
      </c>
      <c r="G42" s="410" t="e">
        <f t="shared" si="9"/>
        <v>#REF!</v>
      </c>
      <c r="H42" s="24">
        <v>31</v>
      </c>
      <c r="I42" s="25">
        <v>0</v>
      </c>
      <c r="J42" s="26"/>
      <c r="L42" s="287" t="str">
        <f>VLOOKUP(A35+6,Tb_Traduction,DB_Langue,FALSE)</f>
        <v>Krankheit:</v>
      </c>
      <c r="M42" s="178">
        <f t="shared" si="6"/>
        <v>0</v>
      </c>
      <c r="N42" s="178">
        <f t="shared" si="6"/>
        <v>0</v>
      </c>
      <c r="O42" s="178">
        <v>0</v>
      </c>
      <c r="Q42" s="179">
        <f t="shared" si="5"/>
        <v>0</v>
      </c>
    </row>
    <row r="43" spans="1:12" ht="15">
      <c r="A43" s="285">
        <v>281</v>
      </c>
      <c r="B43" s="402" t="str">
        <f t="shared" si="8"/>
        <v>Arbeitstage ( a )</v>
      </c>
      <c r="C43" s="403" t="e">
        <f t="shared" si="9"/>
        <v>#N/A</v>
      </c>
      <c r="D43" s="403" t="e">
        <f>VLOOKUP(#REF!,Tb_Traduction,DB_Langue,FALSE)</f>
        <v>#REF!</v>
      </c>
      <c r="E43" s="403" t="e">
        <f t="shared" si="9"/>
        <v>#REF!</v>
      </c>
      <c r="F43" s="403" t="e">
        <f t="shared" si="9"/>
        <v>#REF!</v>
      </c>
      <c r="G43" s="404" t="e">
        <f t="shared" si="9"/>
        <v>#REF!</v>
      </c>
      <c r="H43" s="27">
        <f>COUNTIF(C9:C39,"a")+COUNTIF(C9:C39,"f")/2</f>
        <v>0</v>
      </c>
      <c r="I43" s="28">
        <v>0</v>
      </c>
      <c r="J43" s="29"/>
      <c r="L43" s="38"/>
    </row>
    <row r="44" spans="1:17" ht="15">
      <c r="A44" s="285">
        <v>282</v>
      </c>
      <c r="B44" s="402" t="str">
        <f t="shared" si="8"/>
        <v>Schultage ( b )</v>
      </c>
      <c r="C44" s="403" t="e">
        <f t="shared" si="9"/>
        <v>#N/A</v>
      </c>
      <c r="D44" s="403" t="e">
        <f>VLOOKUP(#REF!,Tb_Traduction,DB_Langue,FALSE)</f>
        <v>#REF!</v>
      </c>
      <c r="E44" s="403" t="e">
        <f t="shared" si="9"/>
        <v>#REF!</v>
      </c>
      <c r="F44" s="403" t="e">
        <f t="shared" si="9"/>
        <v>#REF!</v>
      </c>
      <c r="G44" s="404" t="e">
        <f t="shared" si="9"/>
        <v>#REF!</v>
      </c>
      <c r="H44" s="27">
        <f>COUNTIF(C9:C39,"b")</f>
        <v>0</v>
      </c>
      <c r="I44" s="28">
        <v>0</v>
      </c>
      <c r="J44" s="29"/>
      <c r="L44" s="38" t="str">
        <f>VLOOKUP(A40+1,Tb_Traduction,DB_Langue,FALSE)</f>
        <v>Bemerkungen:</v>
      </c>
      <c r="M44" s="513"/>
      <c r="N44" s="514"/>
      <c r="O44" s="514"/>
      <c r="P44" s="514"/>
      <c r="Q44" s="515"/>
    </row>
    <row r="45" spans="1:17" ht="15">
      <c r="A45" s="285">
        <v>285</v>
      </c>
      <c r="B45" s="402" t="str">
        <f t="shared" si="8"/>
        <v>überbetriebliche Kurse ( c )</v>
      </c>
      <c r="C45" s="403" t="e">
        <f t="shared" si="9"/>
        <v>#N/A</v>
      </c>
      <c r="D45" s="403" t="e">
        <f>VLOOKUP(#REF!,Tb_Traduction,DB_Langue,FALSE)</f>
        <v>#REF!</v>
      </c>
      <c r="E45" s="403" t="e">
        <f t="shared" si="9"/>
        <v>#REF!</v>
      </c>
      <c r="F45" s="403" t="e">
        <f t="shared" si="9"/>
        <v>#REF!</v>
      </c>
      <c r="G45" s="404" t="e">
        <f t="shared" si="9"/>
        <v>#REF!</v>
      </c>
      <c r="H45" s="27">
        <f>COUNTIF(C9:C39,"c")</f>
        <v>0</v>
      </c>
      <c r="I45" s="28">
        <v>0</v>
      </c>
      <c r="J45" s="29"/>
      <c r="M45" s="516"/>
      <c r="N45" s="517"/>
      <c r="O45" s="517"/>
      <c r="P45" s="517"/>
      <c r="Q45" s="518"/>
    </row>
    <row r="46" spans="1:17" ht="15">
      <c r="A46" s="285">
        <v>291</v>
      </c>
      <c r="B46" s="402" t="str">
        <f t="shared" si="8"/>
        <v>Militär ( i )</v>
      </c>
      <c r="C46" s="403" t="e">
        <f t="shared" si="9"/>
        <v>#N/A</v>
      </c>
      <c r="D46" s="403" t="e">
        <f>VLOOKUP(#REF!,Tb_Traduction,DB_Langue,FALSE)</f>
        <v>#REF!</v>
      </c>
      <c r="E46" s="403" t="e">
        <f t="shared" si="9"/>
        <v>#REF!</v>
      </c>
      <c r="F46" s="403" t="e">
        <f t="shared" si="9"/>
        <v>#REF!</v>
      </c>
      <c r="G46" s="404" t="e">
        <f t="shared" si="9"/>
        <v>#REF!</v>
      </c>
      <c r="H46" s="27">
        <f>COUNTIF(C9:C39,"i")</f>
        <v>0</v>
      </c>
      <c r="I46" s="28">
        <v>0</v>
      </c>
      <c r="J46" s="362"/>
      <c r="L46" s="34"/>
      <c r="M46" s="519"/>
      <c r="N46" s="520"/>
      <c r="O46" s="520"/>
      <c r="P46" s="520"/>
      <c r="Q46" s="521"/>
    </row>
    <row r="47" spans="1:17" ht="15">
      <c r="A47" s="285">
        <v>286</v>
      </c>
      <c r="B47" s="402" t="str">
        <f t="shared" si="8"/>
        <v>Frei ( d )</v>
      </c>
      <c r="C47" s="403" t="e">
        <f t="shared" si="9"/>
        <v>#N/A</v>
      </c>
      <c r="D47" s="403" t="e">
        <f>VLOOKUP(#REF!,Tb_Traduction,DB_Langue,FALSE)</f>
        <v>#REF!</v>
      </c>
      <c r="E47" s="403" t="e">
        <f t="shared" si="9"/>
        <v>#REF!</v>
      </c>
      <c r="F47" s="403" t="e">
        <f t="shared" si="9"/>
        <v>#REF!</v>
      </c>
      <c r="G47" s="404" t="e">
        <f t="shared" si="9"/>
        <v>#REF!</v>
      </c>
      <c r="H47" s="27">
        <f>COUNTIF(C9:C39,"d")+COUNTIF(C9:C39,"f")/2</f>
        <v>0</v>
      </c>
      <c r="I47" s="28">
        <v>0</v>
      </c>
      <c r="J47" s="29"/>
      <c r="L47" s="34"/>
      <c r="M47" s="34"/>
      <c r="N47" s="34"/>
      <c r="O47" s="38"/>
      <c r="P47" s="34"/>
      <c r="Q47" s="40"/>
    </row>
    <row r="48" spans="1:17" ht="15">
      <c r="A48" s="285">
        <v>288</v>
      </c>
      <c r="B48" s="402" t="str">
        <f t="shared" si="8"/>
        <v>Ferien ( e )</v>
      </c>
      <c r="C48" s="403" t="e">
        <f t="shared" si="9"/>
        <v>#N/A</v>
      </c>
      <c r="D48" s="403" t="e">
        <f>VLOOKUP(#REF!,Tb_Traduction,DB_Langue,FALSE)</f>
        <v>#REF!</v>
      </c>
      <c r="E48" s="403" t="e">
        <f t="shared" si="9"/>
        <v>#REF!</v>
      </c>
      <c r="F48" s="403" t="e">
        <f t="shared" si="9"/>
        <v>#REF!</v>
      </c>
      <c r="G48" s="404" t="e">
        <f t="shared" si="9"/>
        <v>#REF!</v>
      </c>
      <c r="H48" s="27">
        <f>COUNTIF(C9:C39,"e")</f>
        <v>0</v>
      </c>
      <c r="I48" s="28">
        <v>0</v>
      </c>
      <c r="J48" s="29"/>
      <c r="L48" s="38" t="str">
        <f>VLOOKUP(A44+1,Tb_Traduction,DB_Langue,FALSE)</f>
        <v>Datum</v>
      </c>
      <c r="M48" s="177"/>
      <c r="N48" s="34"/>
      <c r="O48" s="38" t="str">
        <f>VLOOKUP(A44+2,Tb_Traduction,DB_Langue,FALSE)</f>
        <v>Berufsbildner /in</v>
      </c>
      <c r="P48" s="54"/>
      <c r="Q48" s="55"/>
    </row>
    <row r="49" spans="1:17" ht="15">
      <c r="A49" s="285">
        <v>289</v>
      </c>
      <c r="B49" s="402" t="str">
        <f t="shared" si="8"/>
        <v>Unfall ( g )</v>
      </c>
      <c r="C49" s="403" t="e">
        <f t="shared" si="9"/>
        <v>#N/A</v>
      </c>
      <c r="D49" s="403" t="e">
        <f>VLOOKUP(#REF!,Tb_Traduction,DB_Langue,FALSE)</f>
        <v>#REF!</v>
      </c>
      <c r="E49" s="403" t="e">
        <f t="shared" si="9"/>
        <v>#REF!</v>
      </c>
      <c r="F49" s="403" t="e">
        <f t="shared" si="9"/>
        <v>#REF!</v>
      </c>
      <c r="G49" s="404" t="e">
        <f t="shared" si="9"/>
        <v>#REF!</v>
      </c>
      <c r="H49" s="27">
        <f>COUNTIF(C9:C39,"g")</f>
        <v>0</v>
      </c>
      <c r="I49" s="28">
        <v>0</v>
      </c>
      <c r="J49" s="29"/>
      <c r="L49" s="34"/>
      <c r="M49" s="34"/>
      <c r="N49" s="34"/>
      <c r="O49" s="38"/>
      <c r="P49" s="34"/>
      <c r="Q49" s="40"/>
    </row>
    <row r="50" spans="1:17" ht="15.75" thickBot="1">
      <c r="A50" s="285">
        <v>290</v>
      </c>
      <c r="B50" s="383" t="str">
        <f t="shared" si="8"/>
        <v>Krankheit ( h )</v>
      </c>
      <c r="C50" s="384" t="e">
        <f t="shared" si="9"/>
        <v>#N/A</v>
      </c>
      <c r="D50" s="384" t="e">
        <f>VLOOKUP(#REF!,Tb_Traduction,DB_Langue,FALSE)</f>
        <v>#REF!</v>
      </c>
      <c r="E50" s="384" t="e">
        <f t="shared" si="9"/>
        <v>#REF!</v>
      </c>
      <c r="F50" s="384" t="e">
        <f t="shared" si="9"/>
        <v>#REF!</v>
      </c>
      <c r="G50" s="385" t="e">
        <f t="shared" si="9"/>
        <v>#REF!</v>
      </c>
      <c r="H50" s="30">
        <f>COUNTIF(C9:C39,"h")</f>
        <v>0</v>
      </c>
      <c r="I50" s="31">
        <v>0</v>
      </c>
      <c r="J50" s="32"/>
      <c r="L50" s="34"/>
      <c r="M50" s="35"/>
      <c r="N50" s="34"/>
      <c r="O50" s="38" t="str">
        <f>VLOOKUP(A47+1,Tb_Traduction,DB_Langue,FALSE)</f>
        <v>Lernende /r</v>
      </c>
      <c r="P50" s="54"/>
      <c r="Q50" s="55"/>
    </row>
    <row r="51" spans="12:17" ht="14.25">
      <c r="L51" s="34"/>
      <c r="M51" s="35"/>
      <c r="N51" s="34"/>
      <c r="O51" s="38"/>
      <c r="P51" s="54"/>
      <c r="Q51" s="55"/>
    </row>
  </sheetData>
  <sheetProtection password="83EF" sheet="1" objects="1" scenarios="1"/>
  <mergeCells count="37">
    <mergeCell ref="M44:Q46"/>
    <mergeCell ref="B50:G50"/>
    <mergeCell ref="B45:G45"/>
    <mergeCell ref="B48:G48"/>
    <mergeCell ref="B49:G49"/>
    <mergeCell ref="B43:G43"/>
    <mergeCell ref="B44:G44"/>
    <mergeCell ref="B47:G47"/>
    <mergeCell ref="B46:G46"/>
    <mergeCell ref="L1:Q1"/>
    <mergeCell ref="M27:N27"/>
    <mergeCell ref="M28:N28"/>
    <mergeCell ref="O33:O34"/>
    <mergeCell ref="Q33:Q34"/>
    <mergeCell ref="M33:M34"/>
    <mergeCell ref="N33:N34"/>
    <mergeCell ref="M3:N3"/>
    <mergeCell ref="O3:P3"/>
    <mergeCell ref="M20:N20"/>
    <mergeCell ref="C3:C8"/>
    <mergeCell ref="D3:D8"/>
    <mergeCell ref="P33:P34"/>
    <mergeCell ref="M5:Q5"/>
    <mergeCell ref="M6:Q6"/>
    <mergeCell ref="M7:Q7"/>
    <mergeCell ref="M8:N8"/>
    <mergeCell ref="E3:E8"/>
    <mergeCell ref="B1:J1"/>
    <mergeCell ref="C2:J2"/>
    <mergeCell ref="B42:G42"/>
    <mergeCell ref="H3:H8"/>
    <mergeCell ref="I3:I8"/>
    <mergeCell ref="J3:J8"/>
    <mergeCell ref="G3:G8"/>
    <mergeCell ref="B41:G41"/>
    <mergeCell ref="F3:F8"/>
    <mergeCell ref="B3:B8"/>
  </mergeCells>
  <conditionalFormatting sqref="H9:H39">
    <cfRule type="expression" priority="1" dxfId="6" stopIfTrue="1">
      <formula>C9="a"</formula>
    </cfRule>
    <cfRule type="expression" priority="2" dxfId="5" stopIfTrue="1">
      <formula>OR(C9="b",C9="c")</formula>
    </cfRule>
    <cfRule type="expression" priority="3" dxfId="0" stopIfTrue="1">
      <formula>OR(C9="d",C9="e")</formula>
    </cfRule>
  </conditionalFormatting>
  <conditionalFormatting sqref="E9:E39">
    <cfRule type="cellIs" priority="11" dxfId="9" operator="lessThan" stopIfTrue="1">
      <formula>0</formula>
    </cfRule>
    <cfRule type="cellIs" priority="12" dxfId="8" operator="greaterThan" stopIfTrue="1">
      <formula>0</formula>
    </cfRule>
    <cfRule type="expression" priority="13" dxfId="7" stopIfTrue="1">
      <formula>OR(C9="a",C9="b",C9="c")</formula>
    </cfRule>
  </conditionalFormatting>
  <conditionalFormatting sqref="F9:F39">
    <cfRule type="cellIs" priority="14" dxfId="9" operator="lessThan" stopIfTrue="1">
      <formula>0</formula>
    </cfRule>
    <cfRule type="cellIs" priority="15" dxfId="8" operator="greaterThan" stopIfTrue="1">
      <formula>0</formula>
    </cfRule>
    <cfRule type="expression" priority="16" dxfId="7" stopIfTrue="1">
      <formula>OR(C9="a")</formula>
    </cfRule>
  </conditionalFormatting>
  <conditionalFormatting sqref="G9:G39">
    <cfRule type="cellIs" priority="17" dxfId="9" operator="lessThan" stopIfTrue="1">
      <formula>0</formula>
    </cfRule>
    <cfRule type="cellIs" priority="18" dxfId="8" operator="greaterThan" stopIfTrue="1">
      <formula>0</formula>
    </cfRule>
    <cfRule type="expression" priority="19" dxfId="7" stopIfTrue="1">
      <formula>OR(C9="a",C9="b",C9="c")</formula>
    </cfRule>
  </conditionalFormatting>
  <conditionalFormatting sqref="B9:B39">
    <cfRule type="expression" priority="7" dxfId="0" stopIfTrue="1">
      <formula>WEEKDAY(B9)=1</formula>
    </cfRule>
  </conditionalFormatting>
  <conditionalFormatting sqref="C9:C39">
    <cfRule type="expression" priority="21" dxfId="2" stopIfTrue="1">
      <formula>AND(C9&lt;&gt;"",C9&lt;&gt;"a",C9&lt;&gt;"b",C9&lt;&gt;"c",C9&lt;&gt;"d",C9&lt;&gt;"e",C9&lt;&gt;"f",C9&lt;&gt;"g",C9&lt;&gt;"h",C9&lt;&gt;"i")</formula>
    </cfRule>
  </conditionalFormatting>
  <conditionalFormatting sqref="D9:D39">
    <cfRule type="cellIs" priority="22" dxfId="9" operator="lessThan" stopIfTrue="1">
      <formula>0</formula>
    </cfRule>
    <cfRule type="cellIs" priority="23" dxfId="8" operator="greaterThan" stopIfTrue="1">
      <formula>0</formula>
    </cfRule>
    <cfRule type="expression" priority="24" dxfId="7" stopIfTrue="1">
      <formula>AND(C9&lt;&gt;"",OR(PN_LogisOuiNon=1,AND(PN_LogisOuiNon=2,C9&lt;&gt;"j")))</formula>
    </cfRule>
  </conditionalFormatting>
  <hyperlinks>
    <hyperlink ref="C3:C8" location="Help_Code" display="Help_Code"/>
  </hyperlinks>
  <printOptions horizontalCentered="1" verticalCentered="1"/>
  <pageMargins left="0.3937007874015748" right="0.3937007874015748" top="0.5905511811023623" bottom="0.3937007874015748" header="0.5118110236220472" footer="0.31496062992125984"/>
  <pageSetup horizontalDpi="600" verticalDpi="600" orientation="portrait" paperSize="9" r:id="rId1"/>
  <headerFooter alignWithMargins="0">
    <oddFooter>&amp;L&amp;A&amp;RPage &amp;P</oddFooter>
  </headerFooter>
</worksheet>
</file>

<file path=xl/worksheets/sheet4.xml><?xml version="1.0" encoding="utf-8"?>
<worksheet xmlns="http://schemas.openxmlformats.org/spreadsheetml/2006/main" xmlns:r="http://schemas.openxmlformats.org/officeDocument/2006/relationships">
  <sheetPr codeName="Sheet5"/>
  <dimension ref="A1:Q51"/>
  <sheetViews>
    <sheetView zoomScalePageLayoutView="0" workbookViewId="0" topLeftCell="A1">
      <pane xSplit="2" ySplit="8" topLeftCell="C9" activePane="bottomRight" state="frozen"/>
      <selection pane="topLeft" activeCell="C9" sqref="C9"/>
      <selection pane="topRight" activeCell="C9" sqref="C9"/>
      <selection pane="bottomLeft" activeCell="C9" sqref="C9"/>
      <selection pane="bottomRight" activeCell="T16" sqref="T16"/>
    </sheetView>
  </sheetViews>
  <sheetFormatPr defaultColWidth="9.140625" defaultRowHeight="12.75"/>
  <cols>
    <col min="1" max="1" width="4.7109375" style="7" hidden="1" customWidth="1"/>
    <col min="2" max="2" width="14.7109375" style="7" customWidth="1"/>
    <col min="3" max="7" width="3.7109375" style="7" customWidth="1"/>
    <col min="8" max="9" width="8.7109375" style="8" customWidth="1"/>
    <col min="10" max="10" width="38.7109375" style="7" customWidth="1"/>
    <col min="11" max="11" width="2.7109375" style="7" hidden="1" customWidth="1"/>
    <col min="12" max="12" width="27.421875" style="9" customWidth="1"/>
    <col min="13" max="13" width="12.140625" style="9" customWidth="1"/>
    <col min="14" max="14" width="12.7109375" style="9" customWidth="1"/>
    <col min="15" max="15" width="12.7109375" style="33" customWidth="1"/>
    <col min="16" max="16" width="11.00390625" style="9" customWidth="1"/>
    <col min="17" max="17" width="12.7109375" style="9" customWidth="1"/>
    <col min="18" max="16384" width="9.140625" style="2" customWidth="1"/>
  </cols>
  <sheetData>
    <row r="1" spans="1:17" ht="17.25" thickBot="1">
      <c r="A1" s="10"/>
      <c r="B1" s="430" t="str">
        <f>'08'!B1</f>
        <v>Agenda</v>
      </c>
      <c r="C1" s="431"/>
      <c r="D1" s="431"/>
      <c r="E1" s="431"/>
      <c r="F1" s="431"/>
      <c r="G1" s="431"/>
      <c r="H1" s="431"/>
      <c r="I1" s="431"/>
      <c r="J1" s="432"/>
      <c r="K1" s="10"/>
      <c r="L1" s="433" t="str">
        <f>'08'!L1</f>
        <v>Monatliche Lohnabrechnung</v>
      </c>
      <c r="M1" s="434"/>
      <c r="N1" s="434"/>
      <c r="O1" s="434"/>
      <c r="P1" s="434"/>
      <c r="Q1" s="435"/>
    </row>
    <row r="2" spans="1:17" ht="17.25" thickBot="1">
      <c r="A2" s="10"/>
      <c r="B2" s="175" t="str">
        <f>'08'!B2</f>
        <v>Lerndende / r</v>
      </c>
      <c r="C2" s="495" t="str">
        <f>"- "&amp;TRIM(DB_Apprenti)&amp;" -"</f>
        <v>-  -</v>
      </c>
      <c r="D2" s="495"/>
      <c r="E2" s="495"/>
      <c r="F2" s="495"/>
      <c r="G2" s="495"/>
      <c r="H2" s="495"/>
      <c r="I2" s="495"/>
      <c r="J2" s="496"/>
      <c r="K2" s="164"/>
      <c r="L2" s="152"/>
      <c r="M2" s="152"/>
      <c r="N2" s="152"/>
      <c r="O2" s="152"/>
      <c r="P2" s="152"/>
      <c r="Q2" s="152"/>
    </row>
    <row r="3" spans="2:17" ht="15" customHeight="1">
      <c r="B3" s="438">
        <f>DATE(DB_Annee,9,1)</f>
        <v>43709</v>
      </c>
      <c r="C3" s="507" t="str">
        <f>'08'!C3</f>
        <v>[ a-b-c-d-e-f-g-h-i ]</v>
      </c>
      <c r="D3" s="444" t="str">
        <f>'08'!D3</f>
        <v>Übernachtung</v>
      </c>
      <c r="E3" s="447" t="str">
        <f>'08'!E3</f>
        <v>Morgenessen</v>
      </c>
      <c r="F3" s="447" t="str">
        <f>'08'!F3</f>
        <v>Mittagessen</v>
      </c>
      <c r="G3" s="413" t="str">
        <f>'08'!G3</f>
        <v>Abendessen</v>
      </c>
      <c r="H3" s="418" t="str">
        <f>'08'!H3</f>
        <v>Betrag Naturallohn</v>
      </c>
      <c r="I3" s="522" t="str">
        <f>'08'!I3</f>
        <v>Angepasster Betrag</v>
      </c>
      <c r="J3" s="503" t="str">
        <f>'08'!J3</f>
        <v>Kommentar
a = Arbeitstag
b = Schultag
c = überbetrieblicher Kurs (üK)
d = Freitag
e = Ferientag
f = 1/2 Arbeitstag, 1/2 Freitag
g = Unfall (ganz Tag)
h = Krankheit (ganz Tag)
i = Miltär</v>
      </c>
      <c r="L3" s="36" t="str">
        <f>'08'!L3</f>
        <v>Monat:</v>
      </c>
      <c r="M3" s="436">
        <f>B3</f>
        <v>43709</v>
      </c>
      <c r="N3" s="436"/>
      <c r="O3" s="437" t="str">
        <f>'08'!O3</f>
        <v>Jahr:</v>
      </c>
      <c r="P3" s="437">
        <f>'08'!P3</f>
        <v>0</v>
      </c>
      <c r="Q3" s="176">
        <f>B3</f>
        <v>43709</v>
      </c>
    </row>
    <row r="4" spans="1:17" ht="15">
      <c r="A4" s="10"/>
      <c r="B4" s="439"/>
      <c r="C4" s="508">
        <f>'08'!C4</f>
        <v>0</v>
      </c>
      <c r="D4" s="445">
        <f>'08'!D4</f>
        <v>0</v>
      </c>
      <c r="E4" s="448">
        <f>'08'!E4</f>
        <v>0</v>
      </c>
      <c r="F4" s="448">
        <f>'08'!F4</f>
        <v>0</v>
      </c>
      <c r="G4" s="414">
        <f>'08'!G4</f>
        <v>0</v>
      </c>
      <c r="H4" s="419">
        <f>'08'!H4</f>
        <v>0</v>
      </c>
      <c r="I4" s="523">
        <f>'08'!I4</f>
        <v>0</v>
      </c>
      <c r="J4" s="524">
        <f>'08'!J4</f>
        <v>0</v>
      </c>
      <c r="K4" s="10"/>
      <c r="L4" s="34"/>
      <c r="M4" s="34"/>
      <c r="N4" s="37"/>
      <c r="O4" s="36"/>
      <c r="P4" s="11"/>
      <c r="Q4" s="11"/>
    </row>
    <row r="5" spans="1:17" ht="15">
      <c r="A5" s="10"/>
      <c r="B5" s="439"/>
      <c r="C5" s="508">
        <f>'08'!C5</f>
        <v>0</v>
      </c>
      <c r="D5" s="445">
        <f>'08'!D5</f>
        <v>0</v>
      </c>
      <c r="E5" s="448">
        <f>'08'!E5</f>
        <v>0</v>
      </c>
      <c r="F5" s="448">
        <f>'08'!F5</f>
        <v>0</v>
      </c>
      <c r="G5" s="414">
        <f>'08'!G5</f>
        <v>0</v>
      </c>
      <c r="H5" s="419">
        <f>'08'!H5</f>
        <v>0</v>
      </c>
      <c r="I5" s="523">
        <f>'08'!I5</f>
        <v>0</v>
      </c>
      <c r="J5" s="524">
        <f>'08'!J5</f>
        <v>0</v>
      </c>
      <c r="K5" s="10"/>
      <c r="L5" s="36" t="str">
        <f>'08'!L5</f>
        <v>Berufsbildner</v>
      </c>
      <c r="M5" s="416">
        <f>TRIM(DB_Maitre)</f>
      </c>
      <c r="N5" s="416"/>
      <c r="O5" s="416"/>
      <c r="P5" s="416"/>
      <c r="Q5" s="416"/>
    </row>
    <row r="6" spans="1:17" ht="15">
      <c r="A6" s="10"/>
      <c r="B6" s="439"/>
      <c r="C6" s="508">
        <f>'08'!C6</f>
        <v>0</v>
      </c>
      <c r="D6" s="445">
        <f>'08'!D6</f>
        <v>0</v>
      </c>
      <c r="E6" s="448">
        <f>'08'!E6</f>
        <v>0</v>
      </c>
      <c r="F6" s="448">
        <f>'08'!F6</f>
        <v>0</v>
      </c>
      <c r="G6" s="414">
        <f>'08'!G6</f>
        <v>0</v>
      </c>
      <c r="H6" s="419">
        <f>'08'!H6</f>
        <v>0</v>
      </c>
      <c r="I6" s="523">
        <f>'08'!I6</f>
        <v>0</v>
      </c>
      <c r="J6" s="524">
        <f>'08'!J6</f>
        <v>0</v>
      </c>
      <c r="K6" s="10"/>
      <c r="L6" s="36" t="str">
        <f>'08'!L6</f>
        <v>Ort</v>
      </c>
      <c r="M6" s="417">
        <f>TRIM(DB_MaitreLieu)</f>
      </c>
      <c r="N6" s="417"/>
      <c r="O6" s="417"/>
      <c r="P6" s="417"/>
      <c r="Q6" s="417"/>
    </row>
    <row r="7" spans="1:17" ht="15">
      <c r="A7" s="10"/>
      <c r="B7" s="439"/>
      <c r="C7" s="508">
        <f>'08'!C7</f>
        <v>0</v>
      </c>
      <c r="D7" s="445">
        <f>'08'!D7</f>
        <v>0</v>
      </c>
      <c r="E7" s="448">
        <f>'08'!E7</f>
        <v>0</v>
      </c>
      <c r="F7" s="448">
        <f>'08'!F7</f>
        <v>0</v>
      </c>
      <c r="G7" s="414">
        <f>'08'!G7</f>
        <v>0</v>
      </c>
      <c r="H7" s="419">
        <f>'08'!H7</f>
        <v>0</v>
      </c>
      <c r="I7" s="523">
        <f>'08'!I7</f>
        <v>0</v>
      </c>
      <c r="J7" s="524">
        <f>'08'!J7</f>
        <v>0</v>
      </c>
      <c r="K7" s="10"/>
      <c r="L7" s="36" t="str">
        <f>'08'!L7</f>
        <v>Lernende / r</v>
      </c>
      <c r="M7" s="417">
        <f>TRIM(DB_Apprenti)</f>
      </c>
      <c r="N7" s="417"/>
      <c r="O7" s="417"/>
      <c r="P7" s="417"/>
      <c r="Q7" s="417"/>
    </row>
    <row r="8" spans="2:17" ht="15.75" thickBot="1">
      <c r="B8" s="440"/>
      <c r="C8" s="509">
        <f>'08'!C8</f>
        <v>0</v>
      </c>
      <c r="D8" s="446">
        <f>'08'!D8</f>
        <v>0</v>
      </c>
      <c r="E8" s="449">
        <f>'08'!E8</f>
        <v>0</v>
      </c>
      <c r="F8" s="449">
        <f>'08'!F8</f>
        <v>0</v>
      </c>
      <c r="G8" s="415">
        <f>'08'!G8</f>
        <v>0</v>
      </c>
      <c r="H8" s="420">
        <f>'08'!H8</f>
        <v>0</v>
      </c>
      <c r="I8" s="423">
        <f>'08'!I8</f>
        <v>0</v>
      </c>
      <c r="J8" s="525">
        <f>'08'!J8</f>
        <v>0</v>
      </c>
      <c r="L8" s="36" t="str">
        <f>'08'!L8</f>
        <v>AHV-Nummer</v>
      </c>
      <c r="M8" s="417">
        <f>TRIM(DB_AVS)</f>
      </c>
      <c r="N8" s="417"/>
      <c r="P8" s="3" t="str">
        <f>'08'!P8</f>
        <v>Geburtsdatum</v>
      </c>
      <c r="Q8" s="42">
        <f>IF(DB_DateNaissance=0,"",DB_DateNaissance)</f>
      </c>
    </row>
    <row r="9" spans="2:11" ht="15">
      <c r="B9" s="87">
        <f>B3</f>
        <v>43709</v>
      </c>
      <c r="C9" s="154"/>
      <c r="D9" s="359"/>
      <c r="E9" s="268"/>
      <c r="F9" s="268"/>
      <c r="G9" s="269"/>
      <c r="H9" s="12">
        <f aca="true" t="shared" si="0" ref="H9:H39">MAX(IF(C9="a",PN_Travail,IF(C9="b",PN_CoursProf,IF(C9="c",PN_CoursIE,IF(C9="d",PN_Conge,0)))),IF(C9="e",PN_Vacances,IF(C9="f",PN_DemiJour,IF(C9="g",PN_Accident,IF(C9="h",PN_Maladie,IF(C9="i",PN_Armee,0))))))</f>
        <v>0</v>
      </c>
      <c r="I9" s="13">
        <f>H9+D9*PN_Logis+E9*PN_Dejeuner+F9*PN_Diner+G9*PN_Souper</f>
        <v>0</v>
      </c>
      <c r="J9" s="161"/>
      <c r="K9" s="14"/>
    </row>
    <row r="10" spans="2:10" ht="15">
      <c r="B10" s="15">
        <f>B9+1</f>
        <v>43710</v>
      </c>
      <c r="C10" s="154"/>
      <c r="D10" s="359"/>
      <c r="E10" s="268"/>
      <c r="F10" s="268"/>
      <c r="G10" s="269"/>
      <c r="H10" s="12">
        <f t="shared" si="0"/>
        <v>0</v>
      </c>
      <c r="I10" s="13">
        <f aca="true" t="shared" si="1" ref="I10:I39">H10+D10*PN_Logis+E10*PN_Dejeuner+F10*PN_Diner+G10*PN_Souper</f>
        <v>0</v>
      </c>
      <c r="J10" s="190"/>
    </row>
    <row r="11" spans="1:17" ht="15">
      <c r="A11" s="163">
        <v>230</v>
      </c>
      <c r="B11" s="15">
        <f aca="true" t="shared" si="2" ref="B11:B38">B10+1</f>
        <v>43711</v>
      </c>
      <c r="C11" s="154"/>
      <c r="D11" s="359"/>
      <c r="E11" s="268"/>
      <c r="F11" s="268"/>
      <c r="G11" s="269"/>
      <c r="H11" s="12">
        <f t="shared" si="0"/>
        <v>0</v>
      </c>
      <c r="I11" s="13">
        <f t="shared" si="1"/>
        <v>0</v>
      </c>
      <c r="J11" s="190"/>
      <c r="L11" s="39" t="str">
        <f>'08'!L11</f>
        <v>Bruttolohn  </v>
      </c>
      <c r="M11" s="34" t="e">
        <f>IF(PN_EffMoy=0,SUBSTITUTE(VLOOKUP(A11+1,Tb_Traduction,DB_Langue,FALSE),"***",TEXT(J40,"0.00")),"")</f>
        <v>#N/A</v>
      </c>
      <c r="N11" s="34"/>
      <c r="O11" s="38"/>
      <c r="P11" s="45"/>
      <c r="Q11" s="49" t="e">
        <f>IF(OR(PN_EffMoy=0,Nb_Mois&lt;&gt;12),Sa_BaseMensuelArrondi/H42*C40,Sa_BaseMensuelArrondi)</f>
        <v>#N/A</v>
      </c>
    </row>
    <row r="12" spans="2:17" ht="15">
      <c r="B12" s="15">
        <f t="shared" si="2"/>
        <v>43712</v>
      </c>
      <c r="C12" s="154"/>
      <c r="D12" s="359"/>
      <c r="E12" s="268"/>
      <c r="F12" s="268"/>
      <c r="G12" s="269"/>
      <c r="H12" s="12">
        <f t="shared" si="0"/>
        <v>0</v>
      </c>
      <c r="I12" s="13">
        <f t="shared" si="1"/>
        <v>0</v>
      </c>
      <c r="J12" s="190"/>
      <c r="L12" s="9" t="str">
        <f>'08'!L12</f>
        <v>Prämie, Bonus, Gratifikation</v>
      </c>
      <c r="Q12" s="155"/>
    </row>
    <row r="13" spans="2:17" ht="15">
      <c r="B13" s="15">
        <f t="shared" si="2"/>
        <v>43713</v>
      </c>
      <c r="C13" s="154"/>
      <c r="D13" s="359"/>
      <c r="E13" s="268"/>
      <c r="F13" s="268"/>
      <c r="G13" s="269"/>
      <c r="H13" s="12">
        <f t="shared" si="0"/>
        <v>0</v>
      </c>
      <c r="I13" s="13">
        <f t="shared" si="1"/>
        <v>0</v>
      </c>
      <c r="J13" s="190"/>
      <c r="L13" s="88" t="str">
        <f>'08'!L13</f>
        <v>Bruttolohn total</v>
      </c>
      <c r="Q13" s="89" t="e">
        <f>SUM(Q11:Q12)</f>
        <v>#N/A</v>
      </c>
    </row>
    <row r="14" spans="2:10" ht="15">
      <c r="B14" s="15">
        <f t="shared" si="2"/>
        <v>43714</v>
      </c>
      <c r="C14" s="154"/>
      <c r="D14" s="359"/>
      <c r="E14" s="268"/>
      <c r="F14" s="268"/>
      <c r="G14" s="269"/>
      <c r="H14" s="12">
        <f t="shared" si="0"/>
        <v>0</v>
      </c>
      <c r="I14" s="13">
        <f t="shared" si="1"/>
        <v>0</v>
      </c>
      <c r="J14" s="190"/>
    </row>
    <row r="15" spans="2:17" ht="15">
      <c r="B15" s="15">
        <f t="shared" si="2"/>
        <v>43715</v>
      </c>
      <c r="C15" s="154"/>
      <c r="D15" s="359"/>
      <c r="E15" s="268"/>
      <c r="F15" s="268"/>
      <c r="G15" s="269"/>
      <c r="H15" s="12">
        <f t="shared" si="0"/>
        <v>0</v>
      </c>
      <c r="I15" s="13">
        <f t="shared" si="1"/>
        <v>0</v>
      </c>
      <c r="J15" s="190"/>
      <c r="L15" s="39" t="str">
        <f>'08'!L15</f>
        <v>Abzüge</v>
      </c>
      <c r="M15" s="11" t="str">
        <f>'08'!M15</f>
        <v>Anteil</v>
      </c>
      <c r="N15" s="11" t="s">
        <v>37</v>
      </c>
      <c r="O15" s="38"/>
      <c r="P15" s="45"/>
      <c r="Q15" s="46"/>
    </row>
    <row r="16" spans="2:17" ht="15">
      <c r="B16" s="15">
        <f t="shared" si="2"/>
        <v>43716</v>
      </c>
      <c r="C16" s="154"/>
      <c r="D16" s="359"/>
      <c r="E16" s="268"/>
      <c r="F16" s="268"/>
      <c r="G16" s="269"/>
      <c r="H16" s="12">
        <f t="shared" si="0"/>
        <v>0</v>
      </c>
      <c r="I16" s="13">
        <f t="shared" si="1"/>
        <v>0</v>
      </c>
      <c r="J16" s="190"/>
      <c r="L16" s="48" t="str">
        <f>'08'!L16</f>
        <v>Beiträge AHV, IV, EO*:</v>
      </c>
      <c r="M16" s="43" t="s">
        <v>50</v>
      </c>
      <c r="N16" s="44">
        <f>IF(B3&gt;=DB_SoumisAVS,RS_AVS,0)</f>
        <v>0.05125</v>
      </c>
      <c r="O16" s="38"/>
      <c r="P16" s="50" t="e">
        <f>$Q$13*N16</f>
        <v>#N/A</v>
      </c>
      <c r="Q16" s="46"/>
    </row>
    <row r="17" spans="2:17" ht="15">
      <c r="B17" s="15">
        <f t="shared" si="2"/>
        <v>43717</v>
      </c>
      <c r="C17" s="154"/>
      <c r="D17" s="359"/>
      <c r="E17" s="268"/>
      <c r="F17" s="268"/>
      <c r="G17" s="269"/>
      <c r="H17" s="12">
        <f t="shared" si="0"/>
        <v>0</v>
      </c>
      <c r="I17" s="13">
        <f t="shared" si="1"/>
        <v>0</v>
      </c>
      <c r="J17" s="190"/>
      <c r="L17" s="48" t="str">
        <f>'08'!L17</f>
        <v>Beiträge ALV*:</v>
      </c>
      <c r="M17" s="43" t="s">
        <v>50</v>
      </c>
      <c r="N17" s="44">
        <f>IF(B3&gt;=DB_SoumisAVS,RS_AC,0)</f>
        <v>0.011</v>
      </c>
      <c r="O17" s="38"/>
      <c r="P17" s="50" t="e">
        <f>$Q$13*N17</f>
        <v>#N/A</v>
      </c>
      <c r="Q17" s="46"/>
    </row>
    <row r="18" spans="2:17" ht="15">
      <c r="B18" s="15">
        <f t="shared" si="2"/>
        <v>43718</v>
      </c>
      <c r="C18" s="154"/>
      <c r="D18" s="359"/>
      <c r="E18" s="268"/>
      <c r="F18" s="268"/>
      <c r="G18" s="269"/>
      <c r="H18" s="12">
        <f t="shared" si="0"/>
        <v>0</v>
      </c>
      <c r="I18" s="13">
        <f t="shared" si="1"/>
        <v>0</v>
      </c>
      <c r="J18" s="190"/>
      <c r="L18" s="48" t="str">
        <f>'08'!L18</f>
        <v>Nichtbetriebsunfall:</v>
      </c>
      <c r="M18" s="43" t="s">
        <v>244</v>
      </c>
      <c r="N18" s="44">
        <f>RS_ANP</f>
        <v>0.01641</v>
      </c>
      <c r="O18" s="38"/>
      <c r="P18" s="51" t="e">
        <f>$Q$13*N18</f>
        <v>#N/A</v>
      </c>
      <c r="Q18" s="46"/>
    </row>
    <row r="19" spans="2:17" ht="15">
      <c r="B19" s="15">
        <f t="shared" si="2"/>
        <v>43719</v>
      </c>
      <c r="C19" s="154"/>
      <c r="D19" s="359"/>
      <c r="E19" s="268"/>
      <c r="F19" s="268"/>
      <c r="G19" s="269"/>
      <c r="H19" s="12">
        <f t="shared" si="0"/>
        <v>0</v>
      </c>
      <c r="I19" s="13">
        <f t="shared" si="1"/>
        <v>0</v>
      </c>
      <c r="J19" s="190"/>
      <c r="L19" s="48" t="str">
        <f>'08'!L19</f>
        <v>Krankentaggeld:</v>
      </c>
      <c r="M19" s="43" t="s">
        <v>50</v>
      </c>
      <c r="N19" s="44">
        <f>RS_MC</f>
        <v>0.0044</v>
      </c>
      <c r="O19" s="38"/>
      <c r="P19" s="50" t="e">
        <f>$Q$13*N19</f>
        <v>#N/A</v>
      </c>
      <c r="Q19" s="46"/>
    </row>
    <row r="20" spans="2:16" ht="15">
      <c r="B20" s="15">
        <f t="shared" si="2"/>
        <v>43720</v>
      </c>
      <c r="C20" s="154"/>
      <c r="D20" s="359"/>
      <c r="E20" s="268"/>
      <c r="F20" s="268"/>
      <c r="G20" s="269"/>
      <c r="H20" s="12">
        <f t="shared" si="0"/>
        <v>0</v>
      </c>
      <c r="I20" s="13">
        <f t="shared" si="1"/>
        <v>0</v>
      </c>
      <c r="J20" s="190"/>
      <c r="L20" s="48" t="str">
        <f>'08'!L20</f>
        <v>Anderer Abzug:</v>
      </c>
      <c r="M20" s="511"/>
      <c r="N20" s="511"/>
      <c r="O20" s="38"/>
      <c r="P20" s="160"/>
    </row>
    <row r="21" spans="2:16" ht="15">
      <c r="B21" s="15">
        <f t="shared" si="2"/>
        <v>43721</v>
      </c>
      <c r="C21" s="154"/>
      <c r="D21" s="359"/>
      <c r="E21" s="268"/>
      <c r="F21" s="268"/>
      <c r="G21" s="269"/>
      <c r="H21" s="12">
        <f t="shared" si="0"/>
        <v>0</v>
      </c>
      <c r="I21" s="13">
        <f t="shared" si="1"/>
        <v>0</v>
      </c>
      <c r="J21" s="190"/>
      <c r="L21" s="38" t="e">
        <f>'08'!L21</f>
        <v>#N/A</v>
      </c>
      <c r="M21" s="34"/>
      <c r="N21" s="34"/>
      <c r="O21" s="38"/>
      <c r="P21" s="50" t="e">
        <f>IF(PN_EffMoy=0,I40,IF(Nb_Mois=12,Sa_NatureMensuelArrondi,Sa_NatureMensuelArrondi*C40/H42))</f>
        <v>#N/A</v>
      </c>
    </row>
    <row r="22" spans="2:16" ht="15">
      <c r="B22" s="15">
        <f t="shared" si="2"/>
        <v>43722</v>
      </c>
      <c r="C22" s="154"/>
      <c r="D22" s="359"/>
      <c r="E22" s="268"/>
      <c r="F22" s="268"/>
      <c r="G22" s="269"/>
      <c r="H22" s="12">
        <f t="shared" si="0"/>
        <v>0</v>
      </c>
      <c r="I22" s="13">
        <f t="shared" si="1"/>
        <v>0</v>
      </c>
      <c r="J22" s="190"/>
      <c r="L22" s="41" t="str">
        <f>'08'!L22</f>
        <v>*) sofern pflichtig</v>
      </c>
      <c r="P22" s="47"/>
    </row>
    <row r="23" spans="2:17" ht="15">
      <c r="B23" s="15">
        <f t="shared" si="2"/>
        <v>43723</v>
      </c>
      <c r="C23" s="154"/>
      <c r="D23" s="359"/>
      <c r="E23" s="268"/>
      <c r="F23" s="268"/>
      <c r="G23" s="269"/>
      <c r="H23" s="12">
        <f t="shared" si="0"/>
        <v>0</v>
      </c>
      <c r="I23" s="13">
        <f t="shared" si="1"/>
        <v>0</v>
      </c>
      <c r="J23" s="190"/>
      <c r="Q23" s="46"/>
    </row>
    <row r="24" spans="2:17" ht="15">
      <c r="B24" s="15">
        <f t="shared" si="2"/>
        <v>43724</v>
      </c>
      <c r="C24" s="154"/>
      <c r="D24" s="359"/>
      <c r="E24" s="268"/>
      <c r="F24" s="268"/>
      <c r="G24" s="269"/>
      <c r="H24" s="12">
        <f t="shared" si="0"/>
        <v>0</v>
      </c>
      <c r="I24" s="13">
        <f t="shared" si="1"/>
        <v>0</v>
      </c>
      <c r="J24" s="190"/>
      <c r="L24" s="39" t="str">
        <f>'08'!L24</f>
        <v>Total Abzüge</v>
      </c>
      <c r="Q24" s="49" t="e">
        <f>INT((SUM(P16:P21)*20)+0.5)/20</f>
        <v>#N/A</v>
      </c>
    </row>
    <row r="25" spans="2:17" ht="15">
      <c r="B25" s="15">
        <f t="shared" si="2"/>
        <v>43725</v>
      </c>
      <c r="C25" s="154"/>
      <c r="D25" s="359"/>
      <c r="E25" s="268"/>
      <c r="F25" s="268"/>
      <c r="G25" s="269"/>
      <c r="H25" s="12">
        <f t="shared" si="0"/>
        <v>0</v>
      </c>
      <c r="I25" s="13">
        <f t="shared" si="1"/>
        <v>0</v>
      </c>
      <c r="J25" s="190"/>
      <c r="Q25" s="47"/>
    </row>
    <row r="26" spans="2:17" ht="15">
      <c r="B26" s="15">
        <f t="shared" si="2"/>
        <v>43726</v>
      </c>
      <c r="C26" s="154"/>
      <c r="D26" s="359"/>
      <c r="E26" s="268"/>
      <c r="F26" s="268"/>
      <c r="G26" s="269"/>
      <c r="H26" s="12">
        <f t="shared" si="0"/>
        <v>0</v>
      </c>
      <c r="I26" s="13">
        <f t="shared" si="1"/>
        <v>0</v>
      </c>
      <c r="J26" s="190"/>
      <c r="L26" s="39" t="str">
        <f>'08'!L26</f>
        <v>Rückvergügungen</v>
      </c>
      <c r="M26" s="34"/>
      <c r="N26" s="34"/>
      <c r="O26" s="38"/>
      <c r="P26" s="45"/>
      <c r="Q26" s="46"/>
    </row>
    <row r="27" spans="2:17" ht="15">
      <c r="B27" s="15">
        <f t="shared" si="2"/>
        <v>43727</v>
      </c>
      <c r="C27" s="154"/>
      <c r="D27" s="359"/>
      <c r="E27" s="268"/>
      <c r="F27" s="268"/>
      <c r="G27" s="269"/>
      <c r="H27" s="12">
        <f t="shared" si="0"/>
        <v>0</v>
      </c>
      <c r="I27" s="13">
        <f t="shared" si="1"/>
        <v>0</v>
      </c>
      <c r="J27" s="190"/>
      <c r="L27" s="38" t="str">
        <f>'08'!L27</f>
        <v>Kostenbeteiligungen</v>
      </c>
      <c r="M27" s="511"/>
      <c r="N27" s="511"/>
      <c r="O27" s="38"/>
      <c r="P27" s="159"/>
      <c r="Q27" s="46"/>
    </row>
    <row r="28" spans="2:17" ht="15">
      <c r="B28" s="15">
        <f t="shared" si="2"/>
        <v>43728</v>
      </c>
      <c r="C28" s="154"/>
      <c r="D28" s="359"/>
      <c r="E28" s="268"/>
      <c r="F28" s="268"/>
      <c r="G28" s="269"/>
      <c r="H28" s="12">
        <f t="shared" si="0"/>
        <v>0</v>
      </c>
      <c r="I28" s="13">
        <f t="shared" si="1"/>
        <v>0</v>
      </c>
      <c r="J28" s="190"/>
      <c r="L28" s="38" t="str">
        <f>'08'!L28</f>
        <v>Übrige Rückvergütungen</v>
      </c>
      <c r="M28" s="512"/>
      <c r="N28" s="512"/>
      <c r="O28" s="38"/>
      <c r="P28" s="160"/>
      <c r="Q28" s="46"/>
    </row>
    <row r="29" spans="2:10" ht="15">
      <c r="B29" s="15">
        <f t="shared" si="2"/>
        <v>43729</v>
      </c>
      <c r="C29" s="154"/>
      <c r="D29" s="359"/>
      <c r="E29" s="268"/>
      <c r="F29" s="268"/>
      <c r="G29" s="269"/>
      <c r="H29" s="12">
        <f t="shared" si="0"/>
        <v>0</v>
      </c>
      <c r="I29" s="13">
        <f t="shared" si="1"/>
        <v>0</v>
      </c>
      <c r="J29" s="190"/>
    </row>
    <row r="30" spans="2:17" ht="15">
      <c r="B30" s="15">
        <f t="shared" si="2"/>
        <v>43730</v>
      </c>
      <c r="C30" s="154"/>
      <c r="D30" s="359"/>
      <c r="E30" s="268"/>
      <c r="F30" s="268"/>
      <c r="G30" s="269"/>
      <c r="H30" s="12">
        <f t="shared" si="0"/>
        <v>0</v>
      </c>
      <c r="I30" s="13">
        <f t="shared" si="1"/>
        <v>0</v>
      </c>
      <c r="J30" s="190"/>
      <c r="L30" s="39" t="str">
        <f>'08'!L30</f>
        <v>Zuschläge</v>
      </c>
      <c r="M30" s="34"/>
      <c r="N30" s="34"/>
      <c r="O30" s="38"/>
      <c r="P30" s="45"/>
      <c r="Q30" s="52">
        <f>SUM(P27:P28)</f>
        <v>0</v>
      </c>
    </row>
    <row r="31" spans="2:17" ht="15">
      <c r="B31" s="15">
        <f t="shared" si="2"/>
        <v>43731</v>
      </c>
      <c r="C31" s="154"/>
      <c r="D31" s="359"/>
      <c r="E31" s="268"/>
      <c r="F31" s="268"/>
      <c r="G31" s="269"/>
      <c r="H31" s="12">
        <f t="shared" si="0"/>
        <v>0</v>
      </c>
      <c r="I31" s="13">
        <f t="shared" si="1"/>
        <v>0</v>
      </c>
      <c r="J31" s="190"/>
      <c r="L31" s="34"/>
      <c r="M31" s="34"/>
      <c r="N31" s="34"/>
      <c r="O31" s="38"/>
      <c r="P31" s="45"/>
      <c r="Q31" s="46"/>
    </row>
    <row r="32" spans="2:17" ht="15">
      <c r="B32" s="15">
        <f t="shared" si="2"/>
        <v>43732</v>
      </c>
      <c r="C32" s="154"/>
      <c r="D32" s="359"/>
      <c r="E32" s="268"/>
      <c r="F32" s="268"/>
      <c r="G32" s="269"/>
      <c r="H32" s="12">
        <f t="shared" si="0"/>
        <v>0</v>
      </c>
      <c r="I32" s="13">
        <f t="shared" si="1"/>
        <v>0</v>
      </c>
      <c r="J32" s="190"/>
      <c r="L32" s="39" t="str">
        <f>'08'!L32</f>
        <v>Netto-Auszahlung</v>
      </c>
      <c r="M32" s="34"/>
      <c r="N32" s="34"/>
      <c r="O32" s="38"/>
      <c r="P32" s="45"/>
      <c r="Q32" s="53" t="e">
        <f>Q13+Q30-Q24</f>
        <v>#N/A</v>
      </c>
    </row>
    <row r="33" spans="2:17" ht="15">
      <c r="B33" s="15">
        <f t="shared" si="2"/>
        <v>43733</v>
      </c>
      <c r="C33" s="154"/>
      <c r="D33" s="359"/>
      <c r="E33" s="268"/>
      <c r="F33" s="268"/>
      <c r="G33" s="269"/>
      <c r="H33" s="12">
        <f t="shared" si="0"/>
        <v>0</v>
      </c>
      <c r="I33" s="13">
        <f t="shared" si="1"/>
        <v>0</v>
      </c>
      <c r="J33" s="190"/>
      <c r="L33" s="34"/>
      <c r="M33" s="386" t="str">
        <f>'08'!M33</f>
        <v>aktueller
Monat</v>
      </c>
      <c r="N33" s="386" t="str">
        <f>'08'!N33</f>
        <v>Summe der
Vormonate</v>
      </c>
      <c r="O33" s="386" t="str">
        <f>'08'!O33</f>
        <v>Jahresvor-
anschlag:</v>
      </c>
      <c r="P33" s="510"/>
      <c r="Q33" s="386" t="str">
        <f>'08'!Q33</f>
        <v>Aktueller
Saldo</v>
      </c>
    </row>
    <row r="34" spans="2:17" ht="15">
      <c r="B34" s="15">
        <f t="shared" si="2"/>
        <v>43734</v>
      </c>
      <c r="C34" s="154"/>
      <c r="D34" s="359"/>
      <c r="E34" s="268"/>
      <c r="F34" s="268"/>
      <c r="G34" s="269"/>
      <c r="H34" s="12">
        <f t="shared" si="0"/>
        <v>0</v>
      </c>
      <c r="I34" s="13">
        <f t="shared" si="1"/>
        <v>0</v>
      </c>
      <c r="J34" s="190"/>
      <c r="L34" s="56" t="str">
        <f>'08'!L34</f>
        <v>Tagesabrechnung</v>
      </c>
      <c r="M34" s="387">
        <f>'08'!M34</f>
        <v>0</v>
      </c>
      <c r="N34" s="387">
        <f>'08'!N34</f>
        <v>0</v>
      </c>
      <c r="O34" s="387">
        <f>'08'!O34</f>
        <v>0</v>
      </c>
      <c r="P34" s="510"/>
      <c r="Q34" s="387">
        <f>'08'!Q34</f>
        <v>0</v>
      </c>
    </row>
    <row r="35" spans="2:17" ht="15">
      <c r="B35" s="15">
        <f t="shared" si="2"/>
        <v>43735</v>
      </c>
      <c r="C35" s="154"/>
      <c r="D35" s="359"/>
      <c r="E35" s="268"/>
      <c r="F35" s="268"/>
      <c r="G35" s="269"/>
      <c r="H35" s="12">
        <f t="shared" si="0"/>
        <v>0</v>
      </c>
      <c r="I35" s="13">
        <f t="shared" si="1"/>
        <v>0</v>
      </c>
      <c r="J35" s="190"/>
      <c r="L35" s="287" t="str">
        <f>'08'!L35</f>
        <v>Arbeit:</v>
      </c>
      <c r="M35" s="262">
        <f aca="true" t="shared" si="3" ref="M35:N38">H43</f>
        <v>0</v>
      </c>
      <c r="N35" s="262">
        <f t="shared" si="3"/>
        <v>0</v>
      </c>
      <c r="O35" s="262" t="e">
        <f>NJ_Travail</f>
        <v>#N/A</v>
      </c>
      <c r="Q35" s="263" t="e">
        <f aca="true" t="shared" si="4" ref="Q35:Q42">O35-N35-M35</f>
        <v>#N/A</v>
      </c>
    </row>
    <row r="36" spans="2:17" ht="15">
      <c r="B36" s="15">
        <f t="shared" si="2"/>
        <v>43736</v>
      </c>
      <c r="C36" s="154"/>
      <c r="D36" s="359"/>
      <c r="E36" s="268"/>
      <c r="F36" s="268"/>
      <c r="G36" s="269"/>
      <c r="H36" s="12">
        <f t="shared" si="0"/>
        <v>0</v>
      </c>
      <c r="I36" s="13">
        <f t="shared" si="1"/>
        <v>0</v>
      </c>
      <c r="J36" s="190"/>
      <c r="L36" s="287" t="str">
        <f>'08'!L36</f>
        <v>Schultage:</v>
      </c>
      <c r="M36" s="178">
        <f t="shared" si="3"/>
        <v>0</v>
      </c>
      <c r="N36" s="178">
        <f t="shared" si="3"/>
        <v>0</v>
      </c>
      <c r="O36" s="178" t="e">
        <f>NJ_CoursProf</f>
        <v>#N/A</v>
      </c>
      <c r="Q36" s="179" t="e">
        <f t="shared" si="4"/>
        <v>#N/A</v>
      </c>
    </row>
    <row r="37" spans="2:17" ht="15">
      <c r="B37" s="15">
        <f t="shared" si="2"/>
        <v>43737</v>
      </c>
      <c r="C37" s="154"/>
      <c r="D37" s="359"/>
      <c r="E37" s="268"/>
      <c r="F37" s="268"/>
      <c r="G37" s="269"/>
      <c r="H37" s="12">
        <f t="shared" si="0"/>
        <v>0</v>
      </c>
      <c r="I37" s="13">
        <f t="shared" si="1"/>
        <v>0</v>
      </c>
      <c r="J37" s="190"/>
      <c r="L37" s="287" t="str">
        <f>'08'!L37</f>
        <v>üK:</v>
      </c>
      <c r="M37" s="178">
        <f t="shared" si="3"/>
        <v>0</v>
      </c>
      <c r="N37" s="178">
        <f t="shared" si="3"/>
        <v>0</v>
      </c>
      <c r="O37" s="178" t="e">
        <f>NJ_CoursIE</f>
        <v>#N/A</v>
      </c>
      <c r="Q37" s="179" t="e">
        <f t="shared" si="4"/>
        <v>#N/A</v>
      </c>
    </row>
    <row r="38" spans="2:17" ht="15">
      <c r="B38" s="15">
        <f t="shared" si="2"/>
        <v>43738</v>
      </c>
      <c r="C38" s="154"/>
      <c r="D38" s="359"/>
      <c r="E38" s="268"/>
      <c r="F38" s="268"/>
      <c r="G38" s="269"/>
      <c r="H38" s="12">
        <f t="shared" si="0"/>
        <v>0</v>
      </c>
      <c r="I38" s="13">
        <f t="shared" si="1"/>
        <v>0</v>
      </c>
      <c r="J38" s="190"/>
      <c r="L38" s="287" t="str">
        <f>'08'!L38</f>
        <v>Militär:</v>
      </c>
      <c r="M38" s="178">
        <f t="shared" si="3"/>
        <v>0</v>
      </c>
      <c r="N38" s="178">
        <f t="shared" si="3"/>
        <v>0</v>
      </c>
      <c r="O38" s="178">
        <f>NJ_Bloc</f>
        <v>0</v>
      </c>
      <c r="Q38" s="179">
        <f t="shared" si="4"/>
        <v>0</v>
      </c>
    </row>
    <row r="39" spans="2:17" ht="15.75" thickBot="1">
      <c r="B39" s="57"/>
      <c r="C39" s="180"/>
      <c r="D39" s="360"/>
      <c r="E39" s="348"/>
      <c r="F39" s="348"/>
      <c r="G39" s="349"/>
      <c r="H39" s="181">
        <f t="shared" si="0"/>
        <v>0</v>
      </c>
      <c r="I39" s="181">
        <f t="shared" si="1"/>
        <v>0</v>
      </c>
      <c r="J39" s="191"/>
      <c r="L39" s="287" t="str">
        <f>'08'!L39</f>
        <v>Frei:</v>
      </c>
      <c r="M39" s="262">
        <f aca="true" t="shared" si="5" ref="M39:N42">H47</f>
        <v>0</v>
      </c>
      <c r="N39" s="262">
        <f t="shared" si="5"/>
        <v>0</v>
      </c>
      <c r="O39" s="262" t="e">
        <f>NJ_Conge</f>
        <v>#N/A</v>
      </c>
      <c r="Q39" s="263" t="e">
        <f t="shared" si="4"/>
        <v>#N/A</v>
      </c>
    </row>
    <row r="40" spans="2:17" ht="15.75" thickBot="1">
      <c r="B40" s="335" t="str">
        <f>'08'!B40</f>
        <v>Total</v>
      </c>
      <c r="C40" s="336">
        <f>COUNTIF(C9:C39,"a")+COUNTIF(C9:C39,"b")+COUNTIF(C9:C39,"c")+COUNTIF(C9:C39,"d")+COUNTIF(C9:C39,"e")+COUNTIF(C9:C39,"f")+COUNTIF(C9:C39,"g")+COUNTIF(C9:C39,"h")+COUNTIF(C9:C39,"i")</f>
        <v>0</v>
      </c>
      <c r="D40" s="17">
        <f aca="true" t="shared" si="6" ref="D40:I40">SUM(D9:D39)</f>
        <v>0</v>
      </c>
      <c r="E40" s="18">
        <f t="shared" si="6"/>
        <v>0</v>
      </c>
      <c r="F40" s="18">
        <f t="shared" si="6"/>
        <v>0</v>
      </c>
      <c r="G40" s="19">
        <f t="shared" si="6"/>
        <v>0</v>
      </c>
      <c r="H40" s="20">
        <f t="shared" si="6"/>
        <v>0</v>
      </c>
      <c r="I40" s="21">
        <f t="shared" si="6"/>
        <v>0</v>
      </c>
      <c r="J40" s="337" t="e">
        <f>INT(((Sa_NatureMensuel/H42*C40)*20)+0.5)/20</f>
        <v>#N/A</v>
      </c>
      <c r="L40" s="288" t="str">
        <f>'08'!L40</f>
        <v>Ferien:</v>
      </c>
      <c r="M40" s="289">
        <f t="shared" si="5"/>
        <v>0</v>
      </c>
      <c r="N40" s="289">
        <f t="shared" si="5"/>
        <v>0</v>
      </c>
      <c r="O40" s="289" t="e">
        <f>NJ_Vacances</f>
        <v>#N/A</v>
      </c>
      <c r="Q40" s="290" t="e">
        <f t="shared" si="4"/>
        <v>#N/A</v>
      </c>
    </row>
    <row r="41" spans="2:17" ht="15.75" thickBot="1">
      <c r="B41" s="452"/>
      <c r="C41" s="453"/>
      <c r="D41" s="453"/>
      <c r="E41" s="453"/>
      <c r="F41" s="453"/>
      <c r="G41" s="506"/>
      <c r="H41" s="286">
        <f>B3</f>
        <v>43709</v>
      </c>
      <c r="I41" s="22" t="str">
        <f>'08'!I41</f>
        <v>Total</v>
      </c>
      <c r="J41" s="23"/>
      <c r="L41" s="288" t="str">
        <f>'08'!L41</f>
        <v>Unfall:</v>
      </c>
      <c r="M41" s="289">
        <f t="shared" si="5"/>
        <v>0</v>
      </c>
      <c r="N41" s="289">
        <f t="shared" si="5"/>
        <v>0</v>
      </c>
      <c r="O41" s="289">
        <v>0</v>
      </c>
      <c r="Q41" s="290">
        <f t="shared" si="4"/>
        <v>0</v>
      </c>
    </row>
    <row r="42" spans="2:17" ht="15">
      <c r="B42" s="408" t="str">
        <f>'08'!B42</f>
        <v>Tagesabrechnung</v>
      </c>
      <c r="C42" s="409" t="e">
        <f>'08'!C42</f>
        <v>#N/A</v>
      </c>
      <c r="D42" s="409" t="e">
        <f>'08'!D42</f>
        <v>#REF!</v>
      </c>
      <c r="E42" s="409" t="e">
        <f>'08'!E42</f>
        <v>#REF!</v>
      </c>
      <c r="F42" s="409" t="e">
        <f>'08'!F42</f>
        <v>#REF!</v>
      </c>
      <c r="G42" s="410" t="e">
        <f>'08'!G42</f>
        <v>#REF!</v>
      </c>
      <c r="H42" s="24">
        <v>30</v>
      </c>
      <c r="I42" s="25">
        <f>SUM('08'!H42:I42)</f>
        <v>31</v>
      </c>
      <c r="J42" s="26"/>
      <c r="L42" s="287" t="str">
        <f>'08'!L42</f>
        <v>Krankheit:</v>
      </c>
      <c r="M42" s="178">
        <f t="shared" si="5"/>
        <v>0</v>
      </c>
      <c r="N42" s="178">
        <f t="shared" si="5"/>
        <v>0</v>
      </c>
      <c r="O42" s="178">
        <v>0</v>
      </c>
      <c r="Q42" s="179">
        <f t="shared" si="4"/>
        <v>0</v>
      </c>
    </row>
    <row r="43" spans="2:10" ht="15">
      <c r="B43" s="402" t="str">
        <f>'08'!B43</f>
        <v>Arbeitstage ( a )</v>
      </c>
      <c r="C43" s="403" t="e">
        <f>'08'!C43</f>
        <v>#N/A</v>
      </c>
      <c r="D43" s="403" t="e">
        <f>'08'!D43</f>
        <v>#REF!</v>
      </c>
      <c r="E43" s="403" t="e">
        <f>'08'!E43</f>
        <v>#REF!</v>
      </c>
      <c r="F43" s="403" t="e">
        <f>'08'!F43</f>
        <v>#REF!</v>
      </c>
      <c r="G43" s="404" t="e">
        <f>'08'!G43</f>
        <v>#REF!</v>
      </c>
      <c r="H43" s="27">
        <f>COUNTIF(C9:C39,"a")+COUNTIF(C9:C39,"f")/2</f>
        <v>0</v>
      </c>
      <c r="I43" s="28">
        <f>SUM('08'!H43:I43)</f>
        <v>0</v>
      </c>
      <c r="J43" s="29"/>
    </row>
    <row r="44" spans="2:17" ht="15">
      <c r="B44" s="402" t="str">
        <f>'08'!B44</f>
        <v>Schultage ( b )</v>
      </c>
      <c r="C44" s="403" t="e">
        <f>'08'!C44</f>
        <v>#N/A</v>
      </c>
      <c r="D44" s="403" t="e">
        <f>'08'!D44</f>
        <v>#REF!</v>
      </c>
      <c r="E44" s="403" t="e">
        <f>'08'!E44</f>
        <v>#REF!</v>
      </c>
      <c r="F44" s="403" t="e">
        <f>'08'!F44</f>
        <v>#REF!</v>
      </c>
      <c r="G44" s="404" t="e">
        <f>'08'!G44</f>
        <v>#REF!</v>
      </c>
      <c r="H44" s="27">
        <f>COUNTIF(C9:C39,"b")</f>
        <v>0</v>
      </c>
      <c r="I44" s="28">
        <f>SUM('08'!H44:I44)</f>
        <v>0</v>
      </c>
      <c r="J44" s="29"/>
      <c r="L44" s="38" t="str">
        <f>'08'!L44</f>
        <v>Bemerkungen:</v>
      </c>
      <c r="M44" s="513"/>
      <c r="N44" s="514"/>
      <c r="O44" s="514"/>
      <c r="P44" s="514"/>
      <c r="Q44" s="515"/>
    </row>
    <row r="45" spans="2:17" ht="15">
      <c r="B45" s="402" t="str">
        <f>'08'!B45</f>
        <v>überbetriebliche Kurse ( c )</v>
      </c>
      <c r="C45" s="403" t="e">
        <f>'08'!C45</f>
        <v>#N/A</v>
      </c>
      <c r="D45" s="403" t="e">
        <f>'08'!D45</f>
        <v>#REF!</v>
      </c>
      <c r="E45" s="403" t="e">
        <f>'08'!E45</f>
        <v>#REF!</v>
      </c>
      <c r="F45" s="403" t="e">
        <f>'08'!F45</f>
        <v>#REF!</v>
      </c>
      <c r="G45" s="404" t="e">
        <f>'08'!G45</f>
        <v>#REF!</v>
      </c>
      <c r="H45" s="27">
        <f>COUNTIF(C9:C39,"c")</f>
        <v>0</v>
      </c>
      <c r="I45" s="28">
        <f>SUM('08'!H45:I45)</f>
        <v>0</v>
      </c>
      <c r="J45" s="29"/>
      <c r="L45" s="34"/>
      <c r="M45" s="516"/>
      <c r="N45" s="517"/>
      <c r="O45" s="517"/>
      <c r="P45" s="517"/>
      <c r="Q45" s="518"/>
    </row>
    <row r="46" spans="2:17" ht="15">
      <c r="B46" s="402" t="str">
        <f>'08'!B46</f>
        <v>Militär ( i )</v>
      </c>
      <c r="C46" s="403" t="e">
        <f>'08'!C46</f>
        <v>#N/A</v>
      </c>
      <c r="D46" s="403" t="e">
        <f>'08'!D46</f>
        <v>#REF!</v>
      </c>
      <c r="E46" s="403" t="e">
        <f>'08'!E46</f>
        <v>#REF!</v>
      </c>
      <c r="F46" s="403" t="e">
        <f>'08'!F46</f>
        <v>#REF!</v>
      </c>
      <c r="G46" s="404" t="e">
        <f>'08'!G46</f>
        <v>#REF!</v>
      </c>
      <c r="H46" s="27">
        <f>COUNTIF(C9:C39,"i")</f>
        <v>0</v>
      </c>
      <c r="I46" s="28">
        <f>SUM('08'!H46:I46)</f>
        <v>0</v>
      </c>
      <c r="J46" s="29"/>
      <c r="L46" s="34"/>
      <c r="M46" s="519"/>
      <c r="N46" s="520"/>
      <c r="O46" s="520"/>
      <c r="P46" s="520"/>
      <c r="Q46" s="521"/>
    </row>
    <row r="47" spans="2:17" ht="15">
      <c r="B47" s="402" t="str">
        <f>'08'!B47</f>
        <v>Frei ( d )</v>
      </c>
      <c r="C47" s="403" t="e">
        <f>'08'!C47</f>
        <v>#N/A</v>
      </c>
      <c r="D47" s="403" t="e">
        <f>'08'!D47</f>
        <v>#REF!</v>
      </c>
      <c r="E47" s="403" t="e">
        <f>'08'!E47</f>
        <v>#REF!</v>
      </c>
      <c r="F47" s="403" t="e">
        <f>'08'!F47</f>
        <v>#REF!</v>
      </c>
      <c r="G47" s="404" t="e">
        <f>'08'!G47</f>
        <v>#REF!</v>
      </c>
      <c r="H47" s="27">
        <f>COUNTIF(C9:C39,"d")+COUNTIF(C9:C39,"f")/2</f>
        <v>0</v>
      </c>
      <c r="I47" s="28">
        <f>SUM('08'!H47:I47)</f>
        <v>0</v>
      </c>
      <c r="J47" s="29"/>
      <c r="L47" s="34"/>
      <c r="M47" s="34"/>
      <c r="N47" s="34"/>
      <c r="O47" s="38"/>
      <c r="P47" s="34"/>
      <c r="Q47" s="40"/>
    </row>
    <row r="48" spans="1:17" ht="15">
      <c r="A48" s="7">
        <v>289</v>
      </c>
      <c r="B48" s="402" t="str">
        <f>'08'!B48</f>
        <v>Ferien ( e )</v>
      </c>
      <c r="C48" s="403" t="e">
        <f>'08'!C48</f>
        <v>#N/A</v>
      </c>
      <c r="D48" s="403" t="e">
        <f>'08'!D48</f>
        <v>#REF!</v>
      </c>
      <c r="E48" s="403" t="e">
        <f>'08'!E48</f>
        <v>#REF!</v>
      </c>
      <c r="F48" s="403" t="e">
        <f>'08'!F48</f>
        <v>#REF!</v>
      </c>
      <c r="G48" s="404" t="e">
        <f>'08'!G48</f>
        <v>#REF!</v>
      </c>
      <c r="H48" s="27">
        <f>COUNTIF(C9:C39,"e")</f>
        <v>0</v>
      </c>
      <c r="I48" s="28">
        <f>SUM('08'!H48:I48)</f>
        <v>0</v>
      </c>
      <c r="J48" s="29"/>
      <c r="L48" s="38" t="str">
        <f>'08'!L48</f>
        <v>Datum</v>
      </c>
      <c r="M48" s="177"/>
      <c r="N48" s="34"/>
      <c r="O48" s="38" t="str">
        <f>'08'!O48</f>
        <v>Berufsbildner /in</v>
      </c>
      <c r="P48" s="54"/>
      <c r="Q48" s="55"/>
    </row>
    <row r="49" spans="1:17" ht="15">
      <c r="A49" s="7">
        <v>290</v>
      </c>
      <c r="B49" s="402" t="str">
        <f>'08'!B49</f>
        <v>Unfall ( g )</v>
      </c>
      <c r="C49" s="403" t="e">
        <f>'08'!C49</f>
        <v>#N/A</v>
      </c>
      <c r="D49" s="403" t="e">
        <f>'08'!D49</f>
        <v>#REF!</v>
      </c>
      <c r="E49" s="403" t="e">
        <f>'08'!E49</f>
        <v>#REF!</v>
      </c>
      <c r="F49" s="403" t="e">
        <f>'08'!F49</f>
        <v>#REF!</v>
      </c>
      <c r="G49" s="404" t="e">
        <f>'08'!G49</f>
        <v>#REF!</v>
      </c>
      <c r="H49" s="27">
        <f>COUNTIF(C9:C39,"g")</f>
        <v>0</v>
      </c>
      <c r="I49" s="28">
        <f>SUM('08'!H49:I49)</f>
        <v>0</v>
      </c>
      <c r="J49" s="29"/>
      <c r="L49" s="34"/>
      <c r="M49" s="34"/>
      <c r="N49" s="34"/>
      <c r="O49" s="38"/>
      <c r="P49" s="34"/>
      <c r="Q49" s="40"/>
    </row>
    <row r="50" spans="1:17" s="7" customFormat="1" ht="15.75" thickBot="1">
      <c r="A50" s="285">
        <v>291</v>
      </c>
      <c r="B50" s="383" t="str">
        <f>'08'!B50</f>
        <v>Krankheit ( h )</v>
      </c>
      <c r="C50" s="384" t="e">
        <f>'08'!C50</f>
        <v>#N/A</v>
      </c>
      <c r="D50" s="384" t="e">
        <f>'08'!D50</f>
        <v>#REF!</v>
      </c>
      <c r="E50" s="384" t="e">
        <f>'08'!E50</f>
        <v>#REF!</v>
      </c>
      <c r="F50" s="384" t="e">
        <f>'08'!F50</f>
        <v>#REF!</v>
      </c>
      <c r="G50" s="385" t="e">
        <f>'08'!G50</f>
        <v>#REF!</v>
      </c>
      <c r="H50" s="30">
        <f>COUNTIF(C9:C39,"h")</f>
        <v>0</v>
      </c>
      <c r="I50" s="31">
        <f>SUM('08'!H50:I50)</f>
        <v>0</v>
      </c>
      <c r="J50" s="32"/>
      <c r="L50" s="34"/>
      <c r="M50" s="35"/>
      <c r="N50" s="34"/>
      <c r="O50" s="38" t="str">
        <f>'08'!O50</f>
        <v>Lernende /r</v>
      </c>
      <c r="P50" s="54"/>
      <c r="Q50" s="55"/>
    </row>
    <row r="51" spans="12:17" ht="14.25">
      <c r="L51" s="34"/>
      <c r="M51" s="35"/>
      <c r="N51" s="34"/>
      <c r="O51" s="38"/>
      <c r="P51" s="54"/>
      <c r="Q51" s="55"/>
    </row>
  </sheetData>
  <sheetProtection password="83EF" sheet="1" objects="1" scenarios="1"/>
  <mergeCells count="37">
    <mergeCell ref="C2:J2"/>
    <mergeCell ref="B1:J1"/>
    <mergeCell ref="L1:Q1"/>
    <mergeCell ref="M3:N3"/>
    <mergeCell ref="O3:P3"/>
    <mergeCell ref="B3:B8"/>
    <mergeCell ref="C3:C8"/>
    <mergeCell ref="D3:D8"/>
    <mergeCell ref="E3:E8"/>
    <mergeCell ref="G3:G8"/>
    <mergeCell ref="H3:H8"/>
    <mergeCell ref="I3:I8"/>
    <mergeCell ref="F3:F8"/>
    <mergeCell ref="J3:J8"/>
    <mergeCell ref="M5:Q5"/>
    <mergeCell ref="M6:Q6"/>
    <mergeCell ref="M20:N20"/>
    <mergeCell ref="M27:N27"/>
    <mergeCell ref="M28:N28"/>
    <mergeCell ref="M7:Q7"/>
    <mergeCell ref="M8:N8"/>
    <mergeCell ref="M44:Q46"/>
    <mergeCell ref="Q33:Q34"/>
    <mergeCell ref="B46:G46"/>
    <mergeCell ref="B50:G50"/>
    <mergeCell ref="B43:G43"/>
    <mergeCell ref="B47:G47"/>
    <mergeCell ref="B44:G44"/>
    <mergeCell ref="B45:G45"/>
    <mergeCell ref="B48:G48"/>
    <mergeCell ref="B49:G49"/>
    <mergeCell ref="B41:G41"/>
    <mergeCell ref="B42:G42"/>
    <mergeCell ref="N33:N34"/>
    <mergeCell ref="M33:M34"/>
    <mergeCell ref="P33:P34"/>
    <mergeCell ref="O33:O34"/>
  </mergeCells>
  <conditionalFormatting sqref="C39:G39">
    <cfRule type="cellIs" priority="10" dxfId="8" operator="lessThan" stopIfTrue="1">
      <formula>0</formula>
    </cfRule>
    <cfRule type="cellIs" priority="11" dxfId="9" operator="greaterThan" stopIfTrue="1">
      <formula>0</formula>
    </cfRule>
    <cfRule type="expression" priority="12" dxfId="7" stopIfTrue="1">
      <formula>B39&lt;&gt;""</formula>
    </cfRule>
  </conditionalFormatting>
  <conditionalFormatting sqref="E9:E38">
    <cfRule type="cellIs" priority="26" dxfId="9" operator="lessThan" stopIfTrue="1">
      <formula>0</formula>
    </cfRule>
    <cfRule type="cellIs" priority="27" dxfId="8" operator="greaterThan" stopIfTrue="1">
      <formula>0</formula>
    </cfRule>
    <cfRule type="expression" priority="28" dxfId="7" stopIfTrue="1">
      <formula>OR(C9="a",C9="b",C9="c")</formula>
    </cfRule>
  </conditionalFormatting>
  <conditionalFormatting sqref="F9:F38">
    <cfRule type="cellIs" priority="29" dxfId="9" operator="lessThan" stopIfTrue="1">
      <formula>0</formula>
    </cfRule>
    <cfRule type="cellIs" priority="30" dxfId="8" operator="greaterThan" stopIfTrue="1">
      <formula>0</formula>
    </cfRule>
    <cfRule type="expression" priority="31" dxfId="7" stopIfTrue="1">
      <formula>OR(C9="a")</formula>
    </cfRule>
  </conditionalFormatting>
  <conditionalFormatting sqref="G9:G38">
    <cfRule type="cellIs" priority="32" dxfId="9" operator="lessThan" stopIfTrue="1">
      <formula>0</formula>
    </cfRule>
    <cfRule type="cellIs" priority="33" dxfId="8" operator="greaterThan" stopIfTrue="1">
      <formula>0</formula>
    </cfRule>
    <cfRule type="expression" priority="34" dxfId="7" stopIfTrue="1">
      <formula>OR(C9="a",C9="b",C9="c")</formula>
    </cfRule>
  </conditionalFormatting>
  <conditionalFormatting sqref="B9:B39">
    <cfRule type="expression" priority="19" dxfId="0" stopIfTrue="1">
      <formula>WEEKDAY(B9)=1</formula>
    </cfRule>
  </conditionalFormatting>
  <conditionalFormatting sqref="C9:C38">
    <cfRule type="expression" priority="36" dxfId="2" stopIfTrue="1">
      <formula>AND(C9&lt;&gt;"",C9&lt;&gt;"a",C9&lt;&gt;"b",C9&lt;&gt;"c",C9&lt;&gt;"d",C9&lt;&gt;"e",C9&lt;&gt;"f",C9&lt;&gt;"g",C9&lt;&gt;"h",C9&lt;&gt;"i")</formula>
    </cfRule>
  </conditionalFormatting>
  <conditionalFormatting sqref="D9:D38">
    <cfRule type="cellIs" priority="37" dxfId="9" operator="lessThan" stopIfTrue="1">
      <formula>0</formula>
    </cfRule>
    <cfRule type="cellIs" priority="38" dxfId="8" operator="greaterThan" stopIfTrue="1">
      <formula>0</formula>
    </cfRule>
    <cfRule type="expression" priority="39" dxfId="7" stopIfTrue="1">
      <formula>AND(C9&lt;&gt;"",OR(PN_LogisOuiNon=1,AND(PN_LogisOuiNon=2,C9&lt;&gt;"i")))</formula>
    </cfRule>
  </conditionalFormatting>
  <conditionalFormatting sqref="D9">
    <cfRule type="cellIs" priority="7" dxfId="9" operator="lessThan" stopIfTrue="1">
      <formula>0</formula>
    </cfRule>
    <cfRule type="cellIs" priority="8" dxfId="8" operator="greaterThan" stopIfTrue="1">
      <formula>0</formula>
    </cfRule>
    <cfRule type="expression" priority="9" dxfId="7" stopIfTrue="1">
      <formula>AND(C9&lt;&gt;"",OR(PN_LogisOuiNon=1,AND(PN_LogisOuiNon=2,C9&lt;&gt;"j")))</formula>
    </cfRule>
  </conditionalFormatting>
  <conditionalFormatting sqref="D10:D38">
    <cfRule type="cellIs" priority="4" dxfId="9" operator="lessThan" stopIfTrue="1">
      <formula>0</formula>
    </cfRule>
    <cfRule type="cellIs" priority="5" dxfId="8" operator="greaterThan" stopIfTrue="1">
      <formula>0</formula>
    </cfRule>
    <cfRule type="expression" priority="6" dxfId="7" stopIfTrue="1">
      <formula>AND(C10&lt;&gt;"",OR(PN_LogisOuiNon=1,AND(PN_LogisOuiNon=2,C10&lt;&gt;"j")))</formula>
    </cfRule>
  </conditionalFormatting>
  <conditionalFormatting sqref="H9:H38">
    <cfRule type="expression" priority="1" dxfId="6" stopIfTrue="1">
      <formula>C9="a"</formula>
    </cfRule>
    <cfRule type="expression" priority="2" dxfId="5" stopIfTrue="1">
      <formula>OR(C9="b",C9="c")</formula>
    </cfRule>
    <cfRule type="expression" priority="3" dxfId="0" stopIfTrue="1">
      <formula>OR(C9="d",C9="e")</formula>
    </cfRule>
  </conditionalFormatting>
  <hyperlinks>
    <hyperlink ref="C3:C8" location="Help_Code" display="Help_Code"/>
  </hyperlinks>
  <printOptions horizontalCentered="1" verticalCentered="1"/>
  <pageMargins left="0.3937007874015748" right="0.3937007874015748" top="0.5905511811023623" bottom="0.3937007874015748" header="0.5118110236220472" footer="0.31496062992125984"/>
  <pageSetup horizontalDpi="600" verticalDpi="600" orientation="portrait" paperSize="9" r:id="rId1"/>
  <headerFooter alignWithMargins="0">
    <oddFooter>&amp;L&amp;A&amp;RPage &amp;P</oddFooter>
  </headerFooter>
</worksheet>
</file>

<file path=xl/worksheets/sheet5.xml><?xml version="1.0" encoding="utf-8"?>
<worksheet xmlns="http://schemas.openxmlformats.org/spreadsheetml/2006/main" xmlns:r="http://schemas.openxmlformats.org/officeDocument/2006/relationships">
  <sheetPr codeName="Sheet6"/>
  <dimension ref="A1:Q51"/>
  <sheetViews>
    <sheetView zoomScalePageLayoutView="0" workbookViewId="0" topLeftCell="B1">
      <pane xSplit="1" ySplit="8" topLeftCell="C9" activePane="bottomRight" state="frozen"/>
      <selection pane="topLeft" activeCell="C9" sqref="C9"/>
      <selection pane="topRight" activeCell="C9" sqref="C9"/>
      <selection pane="bottomLeft" activeCell="C9" sqref="C9"/>
      <selection pane="bottomRight" activeCell="C9" sqref="C9"/>
    </sheetView>
  </sheetViews>
  <sheetFormatPr defaultColWidth="9.140625" defaultRowHeight="12.75"/>
  <cols>
    <col min="1" max="1" width="4.7109375" style="7" hidden="1" customWidth="1"/>
    <col min="2" max="2" width="14.7109375" style="7" customWidth="1"/>
    <col min="3" max="7" width="3.7109375" style="7" customWidth="1"/>
    <col min="8" max="9" width="8.7109375" style="8" customWidth="1"/>
    <col min="10" max="10" width="38.7109375" style="7" customWidth="1"/>
    <col min="11" max="11" width="2.7109375" style="7" hidden="1" customWidth="1"/>
    <col min="12" max="12" width="27.421875" style="9" customWidth="1"/>
    <col min="13" max="13" width="12.140625" style="9" customWidth="1"/>
    <col min="14" max="14" width="12.7109375" style="9" customWidth="1"/>
    <col min="15" max="15" width="12.7109375" style="33" customWidth="1"/>
    <col min="16" max="16" width="11.00390625" style="9" customWidth="1"/>
    <col min="17" max="17" width="12.7109375" style="9" customWidth="1"/>
    <col min="18" max="16384" width="9.140625" style="2" customWidth="1"/>
  </cols>
  <sheetData>
    <row r="1" spans="1:17" ht="17.25" thickBot="1">
      <c r="A1" s="10"/>
      <c r="B1" s="430" t="str">
        <f>'08'!B1</f>
        <v>Agenda</v>
      </c>
      <c r="C1" s="431"/>
      <c r="D1" s="431"/>
      <c r="E1" s="431"/>
      <c r="F1" s="431"/>
      <c r="G1" s="431"/>
      <c r="H1" s="431"/>
      <c r="I1" s="431"/>
      <c r="J1" s="432"/>
      <c r="K1" s="10"/>
      <c r="L1" s="433" t="str">
        <f>'08'!L1</f>
        <v>Monatliche Lohnabrechnung</v>
      </c>
      <c r="M1" s="434"/>
      <c r="N1" s="434"/>
      <c r="O1" s="434"/>
      <c r="P1" s="434"/>
      <c r="Q1" s="435"/>
    </row>
    <row r="2" spans="1:17" ht="17.25" thickBot="1">
      <c r="A2" s="10"/>
      <c r="B2" s="175" t="str">
        <f>'08'!B2</f>
        <v>Lerndende / r</v>
      </c>
      <c r="C2" s="495" t="str">
        <f>"- "&amp;TRIM(DB_Apprenti)&amp;" -"</f>
        <v>-  -</v>
      </c>
      <c r="D2" s="495"/>
      <c r="E2" s="495"/>
      <c r="F2" s="495"/>
      <c r="G2" s="495"/>
      <c r="H2" s="495"/>
      <c r="I2" s="495"/>
      <c r="J2" s="496"/>
      <c r="K2" s="10"/>
      <c r="L2" s="152"/>
      <c r="M2" s="152"/>
      <c r="N2" s="152"/>
      <c r="O2" s="152"/>
      <c r="P2" s="152"/>
      <c r="Q2" s="152"/>
    </row>
    <row r="3" spans="2:17" ht="15" customHeight="1">
      <c r="B3" s="438">
        <f>DATE(DB_Annee,10,1)</f>
        <v>43739</v>
      </c>
      <c r="C3" s="507" t="str">
        <f>'08'!C3</f>
        <v>[ a-b-c-d-e-f-g-h-i ]</v>
      </c>
      <c r="D3" s="444" t="str">
        <f>'08'!D3</f>
        <v>Übernachtung</v>
      </c>
      <c r="E3" s="447" t="str">
        <f>'08'!E3</f>
        <v>Morgenessen</v>
      </c>
      <c r="F3" s="447" t="str">
        <f>'08'!F3</f>
        <v>Mittagessen</v>
      </c>
      <c r="G3" s="413" t="str">
        <f>'08'!G3</f>
        <v>Abendessen</v>
      </c>
      <c r="H3" s="418" t="str">
        <f>'08'!H3</f>
        <v>Betrag Naturallohn</v>
      </c>
      <c r="I3" s="522" t="str">
        <f>'08'!I3</f>
        <v>Angepasster Betrag</v>
      </c>
      <c r="J3" s="503" t="str">
        <f>'08'!J3</f>
        <v>Kommentar
a = Arbeitstag
b = Schultag
c = überbetrieblicher Kurs (üK)
d = Freitag
e = Ferientag
f = 1/2 Arbeitstag, 1/2 Freitag
g = Unfall (ganz Tag)
h = Krankheit (ganz Tag)
i = Miltär</v>
      </c>
      <c r="L3" s="36" t="str">
        <f>'08'!L3</f>
        <v>Monat:</v>
      </c>
      <c r="M3" s="436">
        <f>B3</f>
        <v>43739</v>
      </c>
      <c r="N3" s="436"/>
      <c r="O3" s="437" t="str">
        <f>'08'!O3</f>
        <v>Jahr:</v>
      </c>
      <c r="P3" s="437">
        <f>'08'!P3</f>
        <v>0</v>
      </c>
      <c r="Q3" s="176">
        <f>B3</f>
        <v>43739</v>
      </c>
    </row>
    <row r="4" spans="1:17" ht="15">
      <c r="A4" s="10"/>
      <c r="B4" s="439"/>
      <c r="C4" s="508">
        <f>'08'!C4</f>
        <v>0</v>
      </c>
      <c r="D4" s="445">
        <f>'08'!D4</f>
        <v>0</v>
      </c>
      <c r="E4" s="448">
        <f>'08'!E4</f>
        <v>0</v>
      </c>
      <c r="F4" s="448">
        <f>'08'!F4</f>
        <v>0</v>
      </c>
      <c r="G4" s="414">
        <f>'08'!G4</f>
        <v>0</v>
      </c>
      <c r="H4" s="419">
        <f>'08'!H4</f>
        <v>0</v>
      </c>
      <c r="I4" s="523">
        <f>'08'!I4</f>
        <v>0</v>
      </c>
      <c r="J4" s="524">
        <f>'08'!J4</f>
        <v>0</v>
      </c>
      <c r="K4" s="10"/>
      <c r="L4" s="34"/>
      <c r="M4" s="34"/>
      <c r="N4" s="37"/>
      <c r="O4" s="36"/>
      <c r="P4" s="11"/>
      <c r="Q4" s="11"/>
    </row>
    <row r="5" spans="1:17" ht="15">
      <c r="A5" s="10"/>
      <c r="B5" s="439"/>
      <c r="C5" s="508">
        <f>'08'!C5</f>
        <v>0</v>
      </c>
      <c r="D5" s="445">
        <f>'08'!D5</f>
        <v>0</v>
      </c>
      <c r="E5" s="448">
        <f>'08'!E5</f>
        <v>0</v>
      </c>
      <c r="F5" s="448">
        <f>'08'!F5</f>
        <v>0</v>
      </c>
      <c r="G5" s="414">
        <f>'08'!G5</f>
        <v>0</v>
      </c>
      <c r="H5" s="419">
        <f>'08'!H5</f>
        <v>0</v>
      </c>
      <c r="I5" s="523">
        <f>'08'!I5</f>
        <v>0</v>
      </c>
      <c r="J5" s="524">
        <f>'08'!J5</f>
        <v>0</v>
      </c>
      <c r="K5" s="10"/>
      <c r="L5" s="36" t="str">
        <f>'08'!L5</f>
        <v>Berufsbildner</v>
      </c>
      <c r="M5" s="416">
        <f>TRIM(DB_Maitre)</f>
      </c>
      <c r="N5" s="416"/>
      <c r="O5" s="416"/>
      <c r="P5" s="416"/>
      <c r="Q5" s="416"/>
    </row>
    <row r="6" spans="1:17" ht="15">
      <c r="A6" s="10"/>
      <c r="B6" s="439"/>
      <c r="C6" s="508">
        <f>'08'!C6</f>
        <v>0</v>
      </c>
      <c r="D6" s="445">
        <f>'08'!D6</f>
        <v>0</v>
      </c>
      <c r="E6" s="448">
        <f>'08'!E6</f>
        <v>0</v>
      </c>
      <c r="F6" s="448">
        <f>'08'!F6</f>
        <v>0</v>
      </c>
      <c r="G6" s="414">
        <f>'08'!G6</f>
        <v>0</v>
      </c>
      <c r="H6" s="419">
        <f>'08'!H6</f>
        <v>0</v>
      </c>
      <c r="I6" s="523">
        <f>'08'!I6</f>
        <v>0</v>
      </c>
      <c r="J6" s="524">
        <f>'08'!J6</f>
        <v>0</v>
      </c>
      <c r="K6" s="10"/>
      <c r="L6" s="36" t="str">
        <f>'08'!L6</f>
        <v>Ort</v>
      </c>
      <c r="M6" s="417">
        <f>TRIM(DB_MaitreLieu)</f>
      </c>
      <c r="N6" s="417"/>
      <c r="O6" s="417"/>
      <c r="P6" s="417"/>
      <c r="Q6" s="417"/>
    </row>
    <row r="7" spans="1:17" ht="15">
      <c r="A7" s="10"/>
      <c r="B7" s="439"/>
      <c r="C7" s="508">
        <f>'08'!C7</f>
        <v>0</v>
      </c>
      <c r="D7" s="445">
        <f>'08'!D7</f>
        <v>0</v>
      </c>
      <c r="E7" s="448">
        <f>'08'!E7</f>
        <v>0</v>
      </c>
      <c r="F7" s="448">
        <f>'08'!F7</f>
        <v>0</v>
      </c>
      <c r="G7" s="414">
        <f>'08'!G7</f>
        <v>0</v>
      </c>
      <c r="H7" s="419">
        <f>'08'!H7</f>
        <v>0</v>
      </c>
      <c r="I7" s="523">
        <f>'08'!I7</f>
        <v>0</v>
      </c>
      <c r="J7" s="524">
        <f>'08'!J7</f>
        <v>0</v>
      </c>
      <c r="K7" s="10"/>
      <c r="L7" s="36" t="str">
        <f>'08'!L7</f>
        <v>Lernende / r</v>
      </c>
      <c r="M7" s="417">
        <f>TRIM(DB_Apprenti)</f>
      </c>
      <c r="N7" s="417"/>
      <c r="O7" s="417"/>
      <c r="P7" s="417"/>
      <c r="Q7" s="417"/>
    </row>
    <row r="8" spans="2:17" ht="15.75" thickBot="1">
      <c r="B8" s="440"/>
      <c r="C8" s="509">
        <f>'08'!C8</f>
        <v>0</v>
      </c>
      <c r="D8" s="446">
        <f>'08'!D8</f>
        <v>0</v>
      </c>
      <c r="E8" s="449">
        <f>'08'!E8</f>
        <v>0</v>
      </c>
      <c r="F8" s="449">
        <f>'08'!F8</f>
        <v>0</v>
      </c>
      <c r="G8" s="415">
        <f>'08'!G8</f>
        <v>0</v>
      </c>
      <c r="H8" s="420">
        <f>'08'!H8</f>
        <v>0</v>
      </c>
      <c r="I8" s="423">
        <f>'08'!I8</f>
        <v>0</v>
      </c>
      <c r="J8" s="525">
        <f>'08'!J8</f>
        <v>0</v>
      </c>
      <c r="L8" s="36" t="str">
        <f>'08'!L8</f>
        <v>AHV-Nummer</v>
      </c>
      <c r="M8" s="417">
        <f>TRIM(DB_AVS)</f>
      </c>
      <c r="N8" s="417"/>
      <c r="P8" s="3" t="str">
        <f>'08'!P8</f>
        <v>Geburtsdatum</v>
      </c>
      <c r="Q8" s="42">
        <f>IF(DB_DateNaissance=0,"",DB_DateNaissance)</f>
      </c>
    </row>
    <row r="9" spans="2:11" ht="15">
      <c r="B9" s="87">
        <f>B3</f>
        <v>43739</v>
      </c>
      <c r="C9" s="154"/>
      <c r="D9" s="359"/>
      <c r="E9" s="268"/>
      <c r="F9" s="268"/>
      <c r="G9" s="269"/>
      <c r="H9" s="12">
        <f>MAX(IF(C9="a",PN_Travail,IF(C9="b",PN_CoursProf,IF(C9="c",PN_CoursIE,IF(C9="d",PN_Conge,0)))),IF(C9="e",PN_Vacances,IF(C9="f",PN_DemiJour,IF(C9="g",PN_Accident,IF(C9="h",PN_Maladie,IF(C9="i",PN_Armee,0))))))</f>
        <v>0</v>
      </c>
      <c r="I9" s="13">
        <f>H9+D9*PN_Logis+E9*PN_Dejeuner+F9*PN_Diner+G9*PN_Souper</f>
        <v>0</v>
      </c>
      <c r="J9" s="161"/>
      <c r="K9" s="14"/>
    </row>
    <row r="10" spans="2:10" ht="15">
      <c r="B10" s="15">
        <f>B9+1</f>
        <v>43740</v>
      </c>
      <c r="C10" s="154"/>
      <c r="D10" s="359"/>
      <c r="E10" s="268"/>
      <c r="F10" s="268"/>
      <c r="G10" s="269"/>
      <c r="H10" s="12">
        <f aca="true" t="shared" si="0" ref="H10:H39">IF(C10="a",PN_Travail,IF(C10="b",PN_CoursProf,IF(C10="c",PN_CoursIE,IF(C10="d",PN_Conge,IF(C10="e",PN_Vacances,IF(C10="f",PN_DemiJour,IF(C10="g",PN_Accident,IF(C10="h",PN_Maladie,0))))))))</f>
        <v>0</v>
      </c>
      <c r="I10" s="13">
        <f aca="true" t="shared" si="1" ref="I10:I39">H10+D10*PN_Logis+E10*PN_Dejeuner+F10*PN_Diner+G10*PN_Souper</f>
        <v>0</v>
      </c>
      <c r="J10" s="190"/>
    </row>
    <row r="11" spans="1:17" ht="15">
      <c r="A11" s="163">
        <v>230</v>
      </c>
      <c r="B11" s="15">
        <f aca="true" t="shared" si="2" ref="B11:B38">B10+1</f>
        <v>43741</v>
      </c>
      <c r="C11" s="154"/>
      <c r="D11" s="359"/>
      <c r="E11" s="268"/>
      <c r="F11" s="268"/>
      <c r="G11" s="269"/>
      <c r="H11" s="12">
        <f t="shared" si="0"/>
        <v>0</v>
      </c>
      <c r="I11" s="13">
        <f t="shared" si="1"/>
        <v>0</v>
      </c>
      <c r="J11" s="190"/>
      <c r="L11" s="39" t="str">
        <f>'08'!L11</f>
        <v>Bruttolohn  </v>
      </c>
      <c r="M11" s="34" t="e">
        <f>IF(PN_EffMoy=0,SUBSTITUTE(VLOOKUP(A11+1,Tb_Traduction,DB_Langue,FALSE),"***",TEXT(J40,"0.00")),"")</f>
        <v>#N/A</v>
      </c>
      <c r="N11" s="34"/>
      <c r="O11" s="38"/>
      <c r="P11" s="45"/>
      <c r="Q11" s="49" t="e">
        <f>IF(OR(PN_EffMoy=0,Nb_Mois&lt;&gt;12),Sa_BaseMensuelArrondi/H42*C40,Sa_BaseMensuelArrondi)</f>
        <v>#N/A</v>
      </c>
    </row>
    <row r="12" spans="2:17" ht="15">
      <c r="B12" s="15">
        <f t="shared" si="2"/>
        <v>43742</v>
      </c>
      <c r="C12" s="154"/>
      <c r="D12" s="359"/>
      <c r="E12" s="268"/>
      <c r="F12" s="268"/>
      <c r="G12" s="269"/>
      <c r="H12" s="12">
        <f t="shared" si="0"/>
        <v>0</v>
      </c>
      <c r="I12" s="13">
        <f t="shared" si="1"/>
        <v>0</v>
      </c>
      <c r="J12" s="190"/>
      <c r="L12" s="9" t="str">
        <f>'08'!L12</f>
        <v>Prämie, Bonus, Gratifikation</v>
      </c>
      <c r="Q12" s="155"/>
    </row>
    <row r="13" spans="2:17" ht="15">
      <c r="B13" s="15">
        <f t="shared" si="2"/>
        <v>43743</v>
      </c>
      <c r="C13" s="154"/>
      <c r="D13" s="359"/>
      <c r="E13" s="268"/>
      <c r="F13" s="268"/>
      <c r="G13" s="269"/>
      <c r="H13" s="12">
        <f t="shared" si="0"/>
        <v>0</v>
      </c>
      <c r="I13" s="13">
        <f t="shared" si="1"/>
        <v>0</v>
      </c>
      <c r="J13" s="190"/>
      <c r="L13" s="88" t="str">
        <f>'08'!L13</f>
        <v>Bruttolohn total</v>
      </c>
      <c r="Q13" s="89" t="e">
        <f>SUM(Q11:Q12)</f>
        <v>#N/A</v>
      </c>
    </row>
    <row r="14" spans="2:10" ht="15">
      <c r="B14" s="15">
        <f t="shared" si="2"/>
        <v>43744</v>
      </c>
      <c r="C14" s="154"/>
      <c r="D14" s="359"/>
      <c r="E14" s="268"/>
      <c r="F14" s="268"/>
      <c r="G14" s="269"/>
      <c r="H14" s="12">
        <f t="shared" si="0"/>
        <v>0</v>
      </c>
      <c r="I14" s="13">
        <f t="shared" si="1"/>
        <v>0</v>
      </c>
      <c r="J14" s="190"/>
    </row>
    <row r="15" spans="2:17" ht="15">
      <c r="B15" s="15">
        <f t="shared" si="2"/>
        <v>43745</v>
      </c>
      <c r="C15" s="154"/>
      <c r="D15" s="359"/>
      <c r="E15" s="268"/>
      <c r="F15" s="268"/>
      <c r="G15" s="269"/>
      <c r="H15" s="12">
        <f t="shared" si="0"/>
        <v>0</v>
      </c>
      <c r="I15" s="13">
        <f t="shared" si="1"/>
        <v>0</v>
      </c>
      <c r="J15" s="190"/>
      <c r="L15" s="39" t="str">
        <f>'08'!L15</f>
        <v>Abzüge</v>
      </c>
      <c r="M15" s="11" t="str">
        <f>'08'!M15</f>
        <v>Anteil</v>
      </c>
      <c r="N15" s="11" t="s">
        <v>37</v>
      </c>
      <c r="O15" s="38"/>
      <c r="P15" s="45"/>
      <c r="Q15" s="46"/>
    </row>
    <row r="16" spans="2:17" ht="15">
      <c r="B16" s="15">
        <f t="shared" si="2"/>
        <v>43746</v>
      </c>
      <c r="C16" s="154"/>
      <c r="D16" s="359"/>
      <c r="E16" s="268"/>
      <c r="F16" s="268"/>
      <c r="G16" s="269"/>
      <c r="H16" s="12">
        <f t="shared" si="0"/>
        <v>0</v>
      </c>
      <c r="I16" s="13">
        <f t="shared" si="1"/>
        <v>0</v>
      </c>
      <c r="J16" s="190"/>
      <c r="L16" s="48" t="str">
        <f>'08'!L16</f>
        <v>Beiträge AHV, IV, EO*:</v>
      </c>
      <c r="M16" s="43" t="s">
        <v>50</v>
      </c>
      <c r="N16" s="44">
        <f>IF(B3&gt;=DB_SoumisAVS,RS_AVS,0)</f>
        <v>0.05125</v>
      </c>
      <c r="O16" s="38"/>
      <c r="P16" s="50" t="e">
        <f>$Q$13*N16</f>
        <v>#N/A</v>
      </c>
      <c r="Q16" s="46"/>
    </row>
    <row r="17" spans="2:17" ht="15">
      <c r="B17" s="15">
        <f t="shared" si="2"/>
        <v>43747</v>
      </c>
      <c r="C17" s="154"/>
      <c r="D17" s="359"/>
      <c r="E17" s="268"/>
      <c r="F17" s="268"/>
      <c r="G17" s="269"/>
      <c r="H17" s="12">
        <f t="shared" si="0"/>
        <v>0</v>
      </c>
      <c r="I17" s="13">
        <f t="shared" si="1"/>
        <v>0</v>
      </c>
      <c r="J17" s="190"/>
      <c r="L17" s="48" t="str">
        <f>'08'!L17</f>
        <v>Beiträge ALV*:</v>
      </c>
      <c r="M17" s="43" t="s">
        <v>50</v>
      </c>
      <c r="N17" s="44">
        <f>IF(B3&gt;=DB_SoumisAVS,RS_AC,0)</f>
        <v>0.011</v>
      </c>
      <c r="O17" s="38"/>
      <c r="P17" s="50" t="e">
        <f>$Q$13*N17</f>
        <v>#N/A</v>
      </c>
      <c r="Q17" s="46"/>
    </row>
    <row r="18" spans="2:17" ht="15">
      <c r="B18" s="15">
        <f t="shared" si="2"/>
        <v>43748</v>
      </c>
      <c r="C18" s="154"/>
      <c r="D18" s="359"/>
      <c r="E18" s="268"/>
      <c r="F18" s="268"/>
      <c r="G18" s="269"/>
      <c r="H18" s="12">
        <f t="shared" si="0"/>
        <v>0</v>
      </c>
      <c r="I18" s="13">
        <f t="shared" si="1"/>
        <v>0</v>
      </c>
      <c r="J18" s="190"/>
      <c r="L18" s="48" t="str">
        <f>'08'!L18</f>
        <v>Nichtbetriebsunfall:</v>
      </c>
      <c r="M18" s="43" t="s">
        <v>244</v>
      </c>
      <c r="N18" s="44">
        <f>RS_ANP</f>
        <v>0.01641</v>
      </c>
      <c r="O18" s="38"/>
      <c r="P18" s="51" t="e">
        <f>$Q$13*N18</f>
        <v>#N/A</v>
      </c>
      <c r="Q18" s="46"/>
    </row>
    <row r="19" spans="2:17" ht="15">
      <c r="B19" s="15">
        <f t="shared" si="2"/>
        <v>43749</v>
      </c>
      <c r="C19" s="154"/>
      <c r="D19" s="359"/>
      <c r="E19" s="268"/>
      <c r="F19" s="268"/>
      <c r="G19" s="269"/>
      <c r="H19" s="12">
        <f t="shared" si="0"/>
        <v>0</v>
      </c>
      <c r="I19" s="13">
        <f t="shared" si="1"/>
        <v>0</v>
      </c>
      <c r="J19" s="190"/>
      <c r="L19" s="48" t="str">
        <f>'08'!L19</f>
        <v>Krankentaggeld:</v>
      </c>
      <c r="M19" s="43" t="s">
        <v>50</v>
      </c>
      <c r="N19" s="44">
        <f>RS_MC</f>
        <v>0.0044</v>
      </c>
      <c r="O19" s="38"/>
      <c r="P19" s="50" t="e">
        <f>$Q$13*N19</f>
        <v>#N/A</v>
      </c>
      <c r="Q19" s="46"/>
    </row>
    <row r="20" spans="2:16" ht="15">
      <c r="B20" s="15">
        <f t="shared" si="2"/>
        <v>43750</v>
      </c>
      <c r="C20" s="154"/>
      <c r="D20" s="359"/>
      <c r="E20" s="268"/>
      <c r="F20" s="268"/>
      <c r="G20" s="269"/>
      <c r="H20" s="12">
        <f t="shared" si="0"/>
        <v>0</v>
      </c>
      <c r="I20" s="13">
        <f t="shared" si="1"/>
        <v>0</v>
      </c>
      <c r="J20" s="190"/>
      <c r="L20" s="48" t="str">
        <f>'08'!L20</f>
        <v>Anderer Abzug:</v>
      </c>
      <c r="M20" s="511"/>
      <c r="N20" s="511"/>
      <c r="O20" s="38"/>
      <c r="P20" s="160"/>
    </row>
    <row r="21" spans="2:16" ht="15">
      <c r="B21" s="15">
        <f t="shared" si="2"/>
        <v>43751</v>
      </c>
      <c r="C21" s="154"/>
      <c r="D21" s="359"/>
      <c r="E21" s="268"/>
      <c r="F21" s="268"/>
      <c r="G21" s="269"/>
      <c r="H21" s="12">
        <f t="shared" si="0"/>
        <v>0</v>
      </c>
      <c r="I21" s="13">
        <f t="shared" si="1"/>
        <v>0</v>
      </c>
      <c r="J21" s="190"/>
      <c r="L21" s="38" t="e">
        <f>'08'!L21</f>
        <v>#N/A</v>
      </c>
      <c r="M21" s="34"/>
      <c r="N21" s="34"/>
      <c r="O21" s="38"/>
      <c r="P21" s="50" t="e">
        <f>IF(PN_EffMoy=0,I40,IF(Nb_Mois=12,Sa_NatureMensuelArrondi,Sa_NatureMensuelArrondi*C40/H42))</f>
        <v>#N/A</v>
      </c>
    </row>
    <row r="22" spans="2:16" ht="15">
      <c r="B22" s="15">
        <f t="shared" si="2"/>
        <v>43752</v>
      </c>
      <c r="C22" s="154"/>
      <c r="D22" s="359"/>
      <c r="E22" s="268"/>
      <c r="F22" s="268"/>
      <c r="G22" s="269"/>
      <c r="H22" s="12">
        <f t="shared" si="0"/>
        <v>0</v>
      </c>
      <c r="I22" s="13">
        <f t="shared" si="1"/>
        <v>0</v>
      </c>
      <c r="J22" s="190"/>
      <c r="L22" s="41" t="str">
        <f>'08'!L22</f>
        <v>*) sofern pflichtig</v>
      </c>
      <c r="P22" s="47"/>
    </row>
    <row r="23" spans="2:17" ht="15">
      <c r="B23" s="15">
        <f t="shared" si="2"/>
        <v>43753</v>
      </c>
      <c r="C23" s="154"/>
      <c r="D23" s="359"/>
      <c r="E23" s="268"/>
      <c r="F23" s="268"/>
      <c r="G23" s="269"/>
      <c r="H23" s="12">
        <f t="shared" si="0"/>
        <v>0</v>
      </c>
      <c r="I23" s="13">
        <f t="shared" si="1"/>
        <v>0</v>
      </c>
      <c r="J23" s="190"/>
      <c r="Q23" s="46"/>
    </row>
    <row r="24" spans="2:17" ht="15">
      <c r="B24" s="15">
        <f t="shared" si="2"/>
        <v>43754</v>
      </c>
      <c r="C24" s="154"/>
      <c r="D24" s="359"/>
      <c r="E24" s="268"/>
      <c r="F24" s="268"/>
      <c r="G24" s="269"/>
      <c r="H24" s="12">
        <f t="shared" si="0"/>
        <v>0</v>
      </c>
      <c r="I24" s="13">
        <f t="shared" si="1"/>
        <v>0</v>
      </c>
      <c r="J24" s="190"/>
      <c r="L24" s="39" t="str">
        <f>'08'!L24</f>
        <v>Total Abzüge</v>
      </c>
      <c r="Q24" s="49" t="e">
        <f>INT((SUM(P16:P21)*20)+0.5)/20</f>
        <v>#N/A</v>
      </c>
    </row>
    <row r="25" spans="2:17" ht="15">
      <c r="B25" s="15">
        <f t="shared" si="2"/>
        <v>43755</v>
      </c>
      <c r="C25" s="154"/>
      <c r="D25" s="359"/>
      <c r="E25" s="268"/>
      <c r="F25" s="268"/>
      <c r="G25" s="269"/>
      <c r="H25" s="12">
        <f t="shared" si="0"/>
        <v>0</v>
      </c>
      <c r="I25" s="13">
        <f t="shared" si="1"/>
        <v>0</v>
      </c>
      <c r="J25" s="190"/>
      <c r="Q25" s="47"/>
    </row>
    <row r="26" spans="2:17" ht="15">
      <c r="B26" s="15">
        <f t="shared" si="2"/>
        <v>43756</v>
      </c>
      <c r="C26" s="154"/>
      <c r="D26" s="359"/>
      <c r="E26" s="268"/>
      <c r="F26" s="268"/>
      <c r="G26" s="269"/>
      <c r="H26" s="12">
        <f t="shared" si="0"/>
        <v>0</v>
      </c>
      <c r="I26" s="13">
        <f t="shared" si="1"/>
        <v>0</v>
      </c>
      <c r="J26" s="190"/>
      <c r="L26" s="39" t="str">
        <f>'08'!L26</f>
        <v>Rückvergügungen</v>
      </c>
      <c r="M26" s="34"/>
      <c r="N26" s="34"/>
      <c r="O26" s="38"/>
      <c r="P26" s="45"/>
      <c r="Q26" s="46"/>
    </row>
    <row r="27" spans="2:17" ht="15">
      <c r="B27" s="15">
        <f t="shared" si="2"/>
        <v>43757</v>
      </c>
      <c r="C27" s="154"/>
      <c r="D27" s="359"/>
      <c r="E27" s="268"/>
      <c r="F27" s="268"/>
      <c r="G27" s="269"/>
      <c r="H27" s="12">
        <f t="shared" si="0"/>
        <v>0</v>
      </c>
      <c r="I27" s="13">
        <f t="shared" si="1"/>
        <v>0</v>
      </c>
      <c r="J27" s="190"/>
      <c r="L27" s="38" t="str">
        <f>'08'!L27</f>
        <v>Kostenbeteiligungen</v>
      </c>
      <c r="M27" s="511"/>
      <c r="N27" s="511"/>
      <c r="O27" s="38"/>
      <c r="P27" s="159"/>
      <c r="Q27" s="46"/>
    </row>
    <row r="28" spans="2:17" ht="15">
      <c r="B28" s="15">
        <f t="shared" si="2"/>
        <v>43758</v>
      </c>
      <c r="C28" s="154"/>
      <c r="D28" s="359"/>
      <c r="E28" s="268"/>
      <c r="F28" s="268"/>
      <c r="G28" s="269"/>
      <c r="H28" s="12">
        <f t="shared" si="0"/>
        <v>0</v>
      </c>
      <c r="I28" s="13">
        <f t="shared" si="1"/>
        <v>0</v>
      </c>
      <c r="J28" s="190"/>
      <c r="L28" s="38" t="str">
        <f>'08'!L28</f>
        <v>Übrige Rückvergütungen</v>
      </c>
      <c r="M28" s="512"/>
      <c r="N28" s="512"/>
      <c r="O28" s="38"/>
      <c r="P28" s="160"/>
      <c r="Q28" s="46"/>
    </row>
    <row r="29" spans="2:10" ht="15">
      <c r="B29" s="15">
        <f t="shared" si="2"/>
        <v>43759</v>
      </c>
      <c r="C29" s="154"/>
      <c r="D29" s="359"/>
      <c r="E29" s="268"/>
      <c r="F29" s="268"/>
      <c r="G29" s="269"/>
      <c r="H29" s="12">
        <f t="shared" si="0"/>
        <v>0</v>
      </c>
      <c r="I29" s="13">
        <f t="shared" si="1"/>
        <v>0</v>
      </c>
      <c r="J29" s="190"/>
    </row>
    <row r="30" spans="2:17" ht="15">
      <c r="B30" s="15">
        <f t="shared" si="2"/>
        <v>43760</v>
      </c>
      <c r="C30" s="154"/>
      <c r="D30" s="359"/>
      <c r="E30" s="268"/>
      <c r="F30" s="268"/>
      <c r="G30" s="269"/>
      <c r="H30" s="12">
        <f t="shared" si="0"/>
        <v>0</v>
      </c>
      <c r="I30" s="13">
        <f t="shared" si="1"/>
        <v>0</v>
      </c>
      <c r="J30" s="190"/>
      <c r="L30" s="39" t="str">
        <f>'08'!L30</f>
        <v>Zuschläge</v>
      </c>
      <c r="M30" s="34"/>
      <c r="N30" s="34"/>
      <c r="O30" s="38"/>
      <c r="P30" s="45"/>
      <c r="Q30" s="52">
        <f>SUM(P27:P28)</f>
        <v>0</v>
      </c>
    </row>
    <row r="31" spans="2:17" ht="15">
      <c r="B31" s="15">
        <f t="shared" si="2"/>
        <v>43761</v>
      </c>
      <c r="C31" s="154"/>
      <c r="D31" s="359"/>
      <c r="E31" s="268"/>
      <c r="F31" s="268"/>
      <c r="G31" s="269"/>
      <c r="H31" s="12">
        <f t="shared" si="0"/>
        <v>0</v>
      </c>
      <c r="I31" s="13">
        <f t="shared" si="1"/>
        <v>0</v>
      </c>
      <c r="J31" s="190"/>
      <c r="L31" s="34"/>
      <c r="M31" s="34"/>
      <c r="N31" s="34"/>
      <c r="O31" s="38"/>
      <c r="P31" s="45"/>
      <c r="Q31" s="46"/>
    </row>
    <row r="32" spans="2:17" ht="15">
      <c r="B32" s="15">
        <f t="shared" si="2"/>
        <v>43762</v>
      </c>
      <c r="C32" s="154"/>
      <c r="D32" s="359"/>
      <c r="E32" s="268"/>
      <c r="F32" s="268"/>
      <c r="G32" s="269"/>
      <c r="H32" s="12">
        <f t="shared" si="0"/>
        <v>0</v>
      </c>
      <c r="I32" s="13">
        <f t="shared" si="1"/>
        <v>0</v>
      </c>
      <c r="J32" s="190"/>
      <c r="L32" s="39" t="str">
        <f>'08'!L32</f>
        <v>Netto-Auszahlung</v>
      </c>
      <c r="M32" s="34"/>
      <c r="N32" s="34"/>
      <c r="O32" s="38"/>
      <c r="P32" s="45"/>
      <c r="Q32" s="53" t="e">
        <f>Q13+Q30-Q24</f>
        <v>#N/A</v>
      </c>
    </row>
    <row r="33" spans="2:17" ht="15">
      <c r="B33" s="15">
        <f t="shared" si="2"/>
        <v>43763</v>
      </c>
      <c r="C33" s="154"/>
      <c r="D33" s="359"/>
      <c r="E33" s="268"/>
      <c r="F33" s="268"/>
      <c r="G33" s="269"/>
      <c r="H33" s="12">
        <f t="shared" si="0"/>
        <v>0</v>
      </c>
      <c r="I33" s="13">
        <f t="shared" si="1"/>
        <v>0</v>
      </c>
      <c r="J33" s="190"/>
      <c r="L33" s="34"/>
      <c r="M33" s="386" t="str">
        <f>'08'!M33</f>
        <v>aktueller
Monat</v>
      </c>
      <c r="N33" s="386" t="str">
        <f>'08'!N33</f>
        <v>Summe der
Vormonate</v>
      </c>
      <c r="O33" s="386" t="str">
        <f>'08'!O33</f>
        <v>Jahresvor-
anschlag:</v>
      </c>
      <c r="P33" s="510"/>
      <c r="Q33" s="386" t="str">
        <f>'08'!Q33</f>
        <v>Aktueller
Saldo</v>
      </c>
    </row>
    <row r="34" spans="2:17" ht="15">
      <c r="B34" s="15">
        <f t="shared" si="2"/>
        <v>43764</v>
      </c>
      <c r="C34" s="154"/>
      <c r="D34" s="359"/>
      <c r="E34" s="268"/>
      <c r="F34" s="268"/>
      <c r="G34" s="269"/>
      <c r="H34" s="12">
        <f t="shared" si="0"/>
        <v>0</v>
      </c>
      <c r="I34" s="13">
        <f t="shared" si="1"/>
        <v>0</v>
      </c>
      <c r="J34" s="190"/>
      <c r="L34" s="56" t="str">
        <f>'08'!L34</f>
        <v>Tagesabrechnung</v>
      </c>
      <c r="M34" s="387">
        <f>'08'!M34</f>
        <v>0</v>
      </c>
      <c r="N34" s="387">
        <f>'08'!N34</f>
        <v>0</v>
      </c>
      <c r="O34" s="387">
        <f>'08'!O34</f>
        <v>0</v>
      </c>
      <c r="P34" s="510"/>
      <c r="Q34" s="387">
        <f>'08'!Q34</f>
        <v>0</v>
      </c>
    </row>
    <row r="35" spans="2:17" ht="15">
      <c r="B35" s="15">
        <f t="shared" si="2"/>
        <v>43765</v>
      </c>
      <c r="C35" s="154"/>
      <c r="D35" s="359"/>
      <c r="E35" s="268"/>
      <c r="F35" s="268"/>
      <c r="G35" s="269"/>
      <c r="H35" s="12">
        <f t="shared" si="0"/>
        <v>0</v>
      </c>
      <c r="I35" s="13">
        <f t="shared" si="1"/>
        <v>0</v>
      </c>
      <c r="J35" s="190"/>
      <c r="L35" s="287" t="str">
        <f>'08'!L35</f>
        <v>Arbeit:</v>
      </c>
      <c r="M35" s="262">
        <f aca="true" t="shared" si="3" ref="M35:N38">H43</f>
        <v>0</v>
      </c>
      <c r="N35" s="262">
        <f t="shared" si="3"/>
        <v>0</v>
      </c>
      <c r="O35" s="262" t="e">
        <f>NJ_Travail</f>
        <v>#N/A</v>
      </c>
      <c r="Q35" s="263" t="e">
        <f aca="true" t="shared" si="4" ref="Q35:Q42">O35-N35-M35</f>
        <v>#N/A</v>
      </c>
    </row>
    <row r="36" spans="2:17" ht="15">
      <c r="B36" s="15">
        <f t="shared" si="2"/>
        <v>43766</v>
      </c>
      <c r="C36" s="154"/>
      <c r="D36" s="359"/>
      <c r="E36" s="268"/>
      <c r="F36" s="268"/>
      <c r="G36" s="269"/>
      <c r="H36" s="12">
        <f t="shared" si="0"/>
        <v>0</v>
      </c>
      <c r="I36" s="13">
        <f t="shared" si="1"/>
        <v>0</v>
      </c>
      <c r="J36" s="190"/>
      <c r="L36" s="287" t="str">
        <f>'08'!L36</f>
        <v>Schultage:</v>
      </c>
      <c r="M36" s="178">
        <f t="shared" si="3"/>
        <v>0</v>
      </c>
      <c r="N36" s="178">
        <f t="shared" si="3"/>
        <v>0</v>
      </c>
      <c r="O36" s="178" t="e">
        <f>NJ_CoursProf</f>
        <v>#N/A</v>
      </c>
      <c r="Q36" s="179" t="e">
        <f t="shared" si="4"/>
        <v>#N/A</v>
      </c>
    </row>
    <row r="37" spans="2:17" ht="15">
      <c r="B37" s="15">
        <f t="shared" si="2"/>
        <v>43767</v>
      </c>
      <c r="C37" s="154"/>
      <c r="D37" s="359"/>
      <c r="E37" s="268"/>
      <c r="F37" s="268"/>
      <c r="G37" s="269"/>
      <c r="H37" s="12">
        <f t="shared" si="0"/>
        <v>0</v>
      </c>
      <c r="I37" s="13">
        <f t="shared" si="1"/>
        <v>0</v>
      </c>
      <c r="J37" s="190"/>
      <c r="L37" s="287" t="str">
        <f>'08'!L37</f>
        <v>üK:</v>
      </c>
      <c r="M37" s="178">
        <f t="shared" si="3"/>
        <v>0</v>
      </c>
      <c r="N37" s="178">
        <f t="shared" si="3"/>
        <v>0</v>
      </c>
      <c r="O37" s="178" t="e">
        <f>NJ_CoursIE</f>
        <v>#N/A</v>
      </c>
      <c r="Q37" s="179" t="e">
        <f t="shared" si="4"/>
        <v>#N/A</v>
      </c>
    </row>
    <row r="38" spans="2:17" ht="15">
      <c r="B38" s="15">
        <f t="shared" si="2"/>
        <v>43768</v>
      </c>
      <c r="C38" s="154"/>
      <c r="D38" s="359"/>
      <c r="E38" s="268"/>
      <c r="F38" s="268"/>
      <c r="G38" s="269"/>
      <c r="H38" s="12">
        <f t="shared" si="0"/>
        <v>0</v>
      </c>
      <c r="I38" s="13">
        <f t="shared" si="1"/>
        <v>0</v>
      </c>
      <c r="J38" s="190"/>
      <c r="L38" s="287" t="str">
        <f>'08'!L38</f>
        <v>Militär:</v>
      </c>
      <c r="M38" s="178">
        <f t="shared" si="3"/>
        <v>0</v>
      </c>
      <c r="N38" s="178">
        <f t="shared" si="3"/>
        <v>0</v>
      </c>
      <c r="O38" s="178">
        <f>NJ_Bloc</f>
        <v>0</v>
      </c>
      <c r="Q38" s="179">
        <f t="shared" si="4"/>
        <v>0</v>
      </c>
    </row>
    <row r="39" spans="2:17" ht="15.75" thickBot="1">
      <c r="B39" s="58">
        <f>B38+1</f>
        <v>43769</v>
      </c>
      <c r="C39" s="154"/>
      <c r="D39" s="359"/>
      <c r="E39" s="268"/>
      <c r="F39" s="268"/>
      <c r="G39" s="269"/>
      <c r="H39" s="12">
        <f t="shared" si="0"/>
        <v>0</v>
      </c>
      <c r="I39" s="13">
        <f t="shared" si="1"/>
        <v>0</v>
      </c>
      <c r="J39" s="191"/>
      <c r="L39" s="287" t="str">
        <f>'08'!L39</f>
        <v>Frei:</v>
      </c>
      <c r="M39" s="262">
        <f aca="true" t="shared" si="5" ref="M39:N42">H47</f>
        <v>0</v>
      </c>
      <c r="N39" s="262">
        <f t="shared" si="5"/>
        <v>0</v>
      </c>
      <c r="O39" s="262" t="e">
        <f>NJ_Conge</f>
        <v>#N/A</v>
      </c>
      <c r="Q39" s="263" t="e">
        <f t="shared" si="4"/>
        <v>#N/A</v>
      </c>
    </row>
    <row r="40" spans="2:17" ht="15.75" thickBot="1">
      <c r="B40" s="335" t="str">
        <f>'08'!B40</f>
        <v>Total</v>
      </c>
      <c r="C40" s="336">
        <f>COUNTIF(C9:C39,"a")+COUNTIF(C9:C39,"b")+COUNTIF(C9:C39,"c")+COUNTIF(C9:C39,"d")+COUNTIF(C9:C39,"e")+COUNTIF(C9:C39,"f")+COUNTIF(C9:C39,"g")+COUNTIF(C9:C39,"h")+COUNTIF(C9:C39,"i")</f>
        <v>0</v>
      </c>
      <c r="D40" s="17">
        <f aca="true" t="shared" si="6" ref="D40:I40">SUM(D9:D39)</f>
        <v>0</v>
      </c>
      <c r="E40" s="18">
        <f t="shared" si="6"/>
        <v>0</v>
      </c>
      <c r="F40" s="18">
        <f t="shared" si="6"/>
        <v>0</v>
      </c>
      <c r="G40" s="19">
        <f t="shared" si="6"/>
        <v>0</v>
      </c>
      <c r="H40" s="20">
        <f t="shared" si="6"/>
        <v>0</v>
      </c>
      <c r="I40" s="21">
        <f t="shared" si="6"/>
        <v>0</v>
      </c>
      <c r="J40" s="337" t="e">
        <f>INT(((Sa_NatureMensuel/H42*C40)*20)+0.5)/20</f>
        <v>#N/A</v>
      </c>
      <c r="L40" s="288" t="str">
        <f>'08'!L40</f>
        <v>Ferien:</v>
      </c>
      <c r="M40" s="289">
        <f t="shared" si="5"/>
        <v>0</v>
      </c>
      <c r="N40" s="289">
        <f t="shared" si="5"/>
        <v>0</v>
      </c>
      <c r="O40" s="289" t="e">
        <f>NJ_Vacances</f>
        <v>#N/A</v>
      </c>
      <c r="Q40" s="290" t="e">
        <f t="shared" si="4"/>
        <v>#N/A</v>
      </c>
    </row>
    <row r="41" spans="2:17" ht="15.75" thickBot="1">
      <c r="B41" s="452"/>
      <c r="C41" s="453"/>
      <c r="D41" s="453"/>
      <c r="E41" s="453"/>
      <c r="F41" s="453"/>
      <c r="G41" s="506"/>
      <c r="H41" s="286">
        <f>B3</f>
        <v>43739</v>
      </c>
      <c r="I41" s="22" t="str">
        <f>'08'!I41</f>
        <v>Total</v>
      </c>
      <c r="J41" s="23"/>
      <c r="L41" s="288" t="str">
        <f>'08'!L41</f>
        <v>Unfall:</v>
      </c>
      <c r="M41" s="289">
        <f t="shared" si="5"/>
        <v>0</v>
      </c>
      <c r="N41" s="289">
        <f t="shared" si="5"/>
        <v>0</v>
      </c>
      <c r="O41" s="289">
        <v>0</v>
      </c>
      <c r="Q41" s="290">
        <f t="shared" si="4"/>
        <v>0</v>
      </c>
    </row>
    <row r="42" spans="2:17" ht="15">
      <c r="B42" s="408" t="str">
        <f>'08'!B42</f>
        <v>Tagesabrechnung</v>
      </c>
      <c r="C42" s="409" t="e">
        <f>'08'!C42</f>
        <v>#N/A</v>
      </c>
      <c r="D42" s="409" t="e">
        <f>'08'!D42</f>
        <v>#REF!</v>
      </c>
      <c r="E42" s="409" t="e">
        <f>'08'!E42</f>
        <v>#REF!</v>
      </c>
      <c r="F42" s="409" t="e">
        <f>'08'!F42</f>
        <v>#REF!</v>
      </c>
      <c r="G42" s="410" t="e">
        <f>'08'!G42</f>
        <v>#REF!</v>
      </c>
      <c r="H42" s="24">
        <v>31</v>
      </c>
      <c r="I42" s="25">
        <f>SUM('09'!H42:I42)</f>
        <v>61</v>
      </c>
      <c r="J42" s="26"/>
      <c r="L42" s="287" t="str">
        <f>'08'!L42</f>
        <v>Krankheit:</v>
      </c>
      <c r="M42" s="178">
        <f t="shared" si="5"/>
        <v>0</v>
      </c>
      <c r="N42" s="178">
        <f t="shared" si="5"/>
        <v>0</v>
      </c>
      <c r="O42" s="178">
        <v>0</v>
      </c>
      <c r="Q42" s="179">
        <f t="shared" si="4"/>
        <v>0</v>
      </c>
    </row>
    <row r="43" spans="2:10" ht="15">
      <c r="B43" s="402" t="str">
        <f>'08'!B43</f>
        <v>Arbeitstage ( a )</v>
      </c>
      <c r="C43" s="403" t="e">
        <f>'08'!C43</f>
        <v>#N/A</v>
      </c>
      <c r="D43" s="403" t="e">
        <f>'08'!D43</f>
        <v>#REF!</v>
      </c>
      <c r="E43" s="403" t="e">
        <f>'08'!E43</f>
        <v>#REF!</v>
      </c>
      <c r="F43" s="403" t="e">
        <f>'08'!F43</f>
        <v>#REF!</v>
      </c>
      <c r="G43" s="404" t="e">
        <f>'08'!G43</f>
        <v>#REF!</v>
      </c>
      <c r="H43" s="27">
        <f>COUNTIF(C9:C39,"a")+COUNTIF(C9:C39,"f")/2</f>
        <v>0</v>
      </c>
      <c r="I43" s="28">
        <f>SUM('09'!H43:I43)</f>
        <v>0</v>
      </c>
      <c r="J43" s="29"/>
    </row>
    <row r="44" spans="2:17" ht="15">
      <c r="B44" s="402" t="str">
        <f>'08'!B44</f>
        <v>Schultage ( b )</v>
      </c>
      <c r="C44" s="403" t="e">
        <f>'08'!C44</f>
        <v>#N/A</v>
      </c>
      <c r="D44" s="403" t="e">
        <f>'08'!D44</f>
        <v>#REF!</v>
      </c>
      <c r="E44" s="403" t="e">
        <f>'08'!E44</f>
        <v>#REF!</v>
      </c>
      <c r="F44" s="403" t="e">
        <f>'08'!F44</f>
        <v>#REF!</v>
      </c>
      <c r="G44" s="404" t="e">
        <f>'08'!G44</f>
        <v>#REF!</v>
      </c>
      <c r="H44" s="27">
        <f>COUNTIF(C9:C39,"b")</f>
        <v>0</v>
      </c>
      <c r="I44" s="28">
        <f>SUM('09'!H44:I44)</f>
        <v>0</v>
      </c>
      <c r="J44" s="29"/>
      <c r="L44" s="38" t="str">
        <f>'08'!L44</f>
        <v>Bemerkungen:</v>
      </c>
      <c r="M44" s="513"/>
      <c r="N44" s="514"/>
      <c r="O44" s="514"/>
      <c r="P44" s="514"/>
      <c r="Q44" s="515"/>
    </row>
    <row r="45" spans="2:17" ht="15">
      <c r="B45" s="402" t="str">
        <f>'08'!B45</f>
        <v>überbetriebliche Kurse ( c )</v>
      </c>
      <c r="C45" s="403" t="e">
        <f>'08'!C45</f>
        <v>#N/A</v>
      </c>
      <c r="D45" s="403" t="e">
        <f>'08'!D45</f>
        <v>#REF!</v>
      </c>
      <c r="E45" s="403" t="e">
        <f>'08'!E45</f>
        <v>#REF!</v>
      </c>
      <c r="F45" s="403" t="e">
        <f>'08'!F45</f>
        <v>#REF!</v>
      </c>
      <c r="G45" s="404" t="e">
        <f>'08'!G45</f>
        <v>#REF!</v>
      </c>
      <c r="H45" s="27">
        <f>COUNTIF(C9:C39,"c")</f>
        <v>0</v>
      </c>
      <c r="I45" s="28">
        <f>SUM('09'!H45:I45)</f>
        <v>0</v>
      </c>
      <c r="J45" s="29"/>
      <c r="L45" s="34"/>
      <c r="M45" s="516"/>
      <c r="N45" s="517"/>
      <c r="O45" s="517"/>
      <c r="P45" s="517"/>
      <c r="Q45" s="518"/>
    </row>
    <row r="46" spans="2:17" ht="15">
      <c r="B46" s="402" t="str">
        <f>'08'!B46</f>
        <v>Militär ( i )</v>
      </c>
      <c r="C46" s="403" t="e">
        <f>'08'!C46</f>
        <v>#N/A</v>
      </c>
      <c r="D46" s="403" t="e">
        <f>'08'!D46</f>
        <v>#REF!</v>
      </c>
      <c r="E46" s="403" t="e">
        <f>'08'!E46</f>
        <v>#REF!</v>
      </c>
      <c r="F46" s="403" t="e">
        <f>'08'!F46</f>
        <v>#REF!</v>
      </c>
      <c r="G46" s="404" t="e">
        <f>'08'!G46</f>
        <v>#REF!</v>
      </c>
      <c r="H46" s="27">
        <f>COUNTIF(C9:C39,"i")</f>
        <v>0</v>
      </c>
      <c r="I46" s="28">
        <f>SUM('09'!H46:I46)</f>
        <v>0</v>
      </c>
      <c r="J46" s="29"/>
      <c r="L46" s="34"/>
      <c r="M46" s="519"/>
      <c r="N46" s="520"/>
      <c r="O46" s="520"/>
      <c r="P46" s="520"/>
      <c r="Q46" s="521"/>
    </row>
    <row r="47" spans="2:17" ht="15">
      <c r="B47" s="402" t="str">
        <f>'08'!B47</f>
        <v>Frei ( d )</v>
      </c>
      <c r="C47" s="403" t="e">
        <f>'08'!C47</f>
        <v>#N/A</v>
      </c>
      <c r="D47" s="403" t="e">
        <f>'08'!D47</f>
        <v>#REF!</v>
      </c>
      <c r="E47" s="403" t="e">
        <f>'08'!E47</f>
        <v>#REF!</v>
      </c>
      <c r="F47" s="403" t="e">
        <f>'08'!F47</f>
        <v>#REF!</v>
      </c>
      <c r="G47" s="404" t="e">
        <f>'08'!G47</f>
        <v>#REF!</v>
      </c>
      <c r="H47" s="27">
        <f>COUNTIF(C9:C39,"d")+COUNTIF(C9:C39,"f")/2</f>
        <v>0</v>
      </c>
      <c r="I47" s="28">
        <f>SUM('09'!H47:I47)</f>
        <v>0</v>
      </c>
      <c r="J47" s="29"/>
      <c r="L47" s="34"/>
      <c r="M47" s="34"/>
      <c r="N47" s="34"/>
      <c r="O47" s="38"/>
      <c r="P47" s="34"/>
      <c r="Q47" s="40"/>
    </row>
    <row r="48" spans="1:17" ht="15">
      <c r="A48" s="7">
        <v>289</v>
      </c>
      <c r="B48" s="402" t="str">
        <f>'08'!B48</f>
        <v>Ferien ( e )</v>
      </c>
      <c r="C48" s="403" t="e">
        <f>'08'!C48</f>
        <v>#N/A</v>
      </c>
      <c r="D48" s="403" t="e">
        <f>'08'!D48</f>
        <v>#REF!</v>
      </c>
      <c r="E48" s="403" t="e">
        <f>'08'!E48</f>
        <v>#REF!</v>
      </c>
      <c r="F48" s="403" t="e">
        <f>'08'!F48</f>
        <v>#REF!</v>
      </c>
      <c r="G48" s="404" t="e">
        <f>'08'!G48</f>
        <v>#REF!</v>
      </c>
      <c r="H48" s="27">
        <f>COUNTIF(C9:C39,"e")</f>
        <v>0</v>
      </c>
      <c r="I48" s="28">
        <f>SUM('09'!H48:I48)</f>
        <v>0</v>
      </c>
      <c r="J48" s="29"/>
      <c r="L48" s="38" t="str">
        <f>'08'!L48</f>
        <v>Datum</v>
      </c>
      <c r="M48" s="177"/>
      <c r="N48" s="34"/>
      <c r="O48" s="38" t="str">
        <f>'08'!O48</f>
        <v>Berufsbildner /in</v>
      </c>
      <c r="P48" s="54"/>
      <c r="Q48" s="55"/>
    </row>
    <row r="49" spans="1:17" ht="15">
      <c r="A49" s="7">
        <v>290</v>
      </c>
      <c r="B49" s="402" t="str">
        <f>'08'!B49</f>
        <v>Unfall ( g )</v>
      </c>
      <c r="C49" s="403" t="e">
        <f>'08'!C49</f>
        <v>#N/A</v>
      </c>
      <c r="D49" s="403" t="e">
        <f>'08'!D49</f>
        <v>#REF!</v>
      </c>
      <c r="E49" s="403" t="e">
        <f>'08'!E49</f>
        <v>#REF!</v>
      </c>
      <c r="F49" s="403" t="e">
        <f>'08'!F49</f>
        <v>#REF!</v>
      </c>
      <c r="G49" s="404" t="e">
        <f>'08'!G49</f>
        <v>#REF!</v>
      </c>
      <c r="H49" s="27">
        <f>COUNTIF(C9:C39,"g")</f>
        <v>0</v>
      </c>
      <c r="I49" s="28">
        <f>SUM('09'!H49:I49)</f>
        <v>0</v>
      </c>
      <c r="J49" s="29"/>
      <c r="L49" s="34"/>
      <c r="M49" s="34"/>
      <c r="N49" s="34"/>
      <c r="O49" s="38"/>
      <c r="P49" s="34"/>
      <c r="Q49" s="40"/>
    </row>
    <row r="50" spans="1:17" s="7" customFormat="1" ht="15.75" thickBot="1">
      <c r="A50" s="285">
        <v>291</v>
      </c>
      <c r="B50" s="383" t="str">
        <f>'08'!B50</f>
        <v>Krankheit ( h )</v>
      </c>
      <c r="C50" s="384" t="e">
        <f>'08'!C50</f>
        <v>#N/A</v>
      </c>
      <c r="D50" s="384" t="e">
        <f>'08'!D50</f>
        <v>#REF!</v>
      </c>
      <c r="E50" s="384" t="e">
        <f>'08'!E50</f>
        <v>#REF!</v>
      </c>
      <c r="F50" s="384" t="e">
        <f>'08'!F50</f>
        <v>#REF!</v>
      </c>
      <c r="G50" s="385" t="e">
        <f>'08'!G50</f>
        <v>#REF!</v>
      </c>
      <c r="H50" s="30">
        <f>COUNTIF(C9:C39,"h")</f>
        <v>0</v>
      </c>
      <c r="I50" s="31">
        <f>SUM('09'!H50:I50)</f>
        <v>0</v>
      </c>
      <c r="J50" s="32"/>
      <c r="L50" s="34"/>
      <c r="M50" s="35"/>
      <c r="N50" s="34"/>
      <c r="O50" s="38" t="str">
        <f>'08'!O50</f>
        <v>Lernende /r</v>
      </c>
      <c r="P50" s="54"/>
      <c r="Q50" s="55"/>
    </row>
    <row r="51" spans="12:17" ht="14.25">
      <c r="L51" s="34"/>
      <c r="M51" s="35"/>
      <c r="N51" s="34"/>
      <c r="O51" s="38"/>
      <c r="P51" s="54"/>
      <c r="Q51" s="55"/>
    </row>
  </sheetData>
  <sheetProtection password="83EF" sheet="1" objects="1" scenarios="1"/>
  <mergeCells count="37">
    <mergeCell ref="C2:J2"/>
    <mergeCell ref="B1:J1"/>
    <mergeCell ref="L1:Q1"/>
    <mergeCell ref="M3:N3"/>
    <mergeCell ref="O3:P3"/>
    <mergeCell ref="B3:B8"/>
    <mergeCell ref="C3:C8"/>
    <mergeCell ref="D3:D8"/>
    <mergeCell ref="E3:E8"/>
    <mergeCell ref="G3:G8"/>
    <mergeCell ref="H3:H8"/>
    <mergeCell ref="I3:I8"/>
    <mergeCell ref="F3:F8"/>
    <mergeCell ref="J3:J8"/>
    <mergeCell ref="M5:Q5"/>
    <mergeCell ref="M6:Q6"/>
    <mergeCell ref="M20:N20"/>
    <mergeCell ref="M27:N27"/>
    <mergeCell ref="M28:N28"/>
    <mergeCell ref="M7:Q7"/>
    <mergeCell ref="M8:N8"/>
    <mergeCell ref="M44:Q46"/>
    <mergeCell ref="Q33:Q34"/>
    <mergeCell ref="B46:G46"/>
    <mergeCell ref="B50:G50"/>
    <mergeCell ref="B43:G43"/>
    <mergeCell ref="B47:G47"/>
    <mergeCell ref="B44:G44"/>
    <mergeCell ref="B45:G45"/>
    <mergeCell ref="B48:G48"/>
    <mergeCell ref="B49:G49"/>
    <mergeCell ref="B41:G41"/>
    <mergeCell ref="B42:G42"/>
    <mergeCell ref="N33:N34"/>
    <mergeCell ref="M33:M34"/>
    <mergeCell ref="P33:P34"/>
    <mergeCell ref="O33:O34"/>
  </mergeCells>
  <conditionalFormatting sqref="H10:H39">
    <cfRule type="expression" priority="10" dxfId="6" stopIfTrue="1">
      <formula>C10="a"</formula>
    </cfRule>
    <cfRule type="expression" priority="11" dxfId="5" stopIfTrue="1">
      <formula>OR(C10="b",C10="c")</formula>
    </cfRule>
    <cfRule type="expression" priority="12" dxfId="0" stopIfTrue="1">
      <formula>OR(C10="d",C10="e")</formula>
    </cfRule>
  </conditionalFormatting>
  <conditionalFormatting sqref="E9:E39">
    <cfRule type="cellIs" priority="20" dxfId="9" operator="lessThan" stopIfTrue="1">
      <formula>0</formula>
    </cfRule>
    <cfRule type="cellIs" priority="21" dxfId="8" operator="greaterThan" stopIfTrue="1">
      <formula>0</formula>
    </cfRule>
    <cfRule type="expression" priority="22" dxfId="7" stopIfTrue="1">
      <formula>OR(C9="a",C9="b",C9="c")</formula>
    </cfRule>
  </conditionalFormatting>
  <conditionalFormatting sqref="F9:F39">
    <cfRule type="cellIs" priority="23" dxfId="9" operator="lessThan" stopIfTrue="1">
      <formula>0</formula>
    </cfRule>
    <cfRule type="cellIs" priority="24" dxfId="8" operator="greaterThan" stopIfTrue="1">
      <formula>0</formula>
    </cfRule>
    <cfRule type="expression" priority="25" dxfId="7" stopIfTrue="1">
      <formula>OR(C9="a")</formula>
    </cfRule>
  </conditionalFormatting>
  <conditionalFormatting sqref="G9:G39">
    <cfRule type="cellIs" priority="26" dxfId="9" operator="lessThan" stopIfTrue="1">
      <formula>0</formula>
    </cfRule>
    <cfRule type="cellIs" priority="27" dxfId="8" operator="greaterThan" stopIfTrue="1">
      <formula>0</formula>
    </cfRule>
    <cfRule type="expression" priority="28" dxfId="7" stopIfTrue="1">
      <formula>OR(C9="a",C9="b",C9="c")</formula>
    </cfRule>
  </conditionalFormatting>
  <conditionalFormatting sqref="B9:B39">
    <cfRule type="expression" priority="16" dxfId="0" stopIfTrue="1">
      <formula>WEEKDAY(B9)=1</formula>
    </cfRule>
  </conditionalFormatting>
  <conditionalFormatting sqref="C9:C39">
    <cfRule type="expression" priority="30" dxfId="2" stopIfTrue="1">
      <formula>AND(C9&lt;&gt;"",C9&lt;&gt;"a",C9&lt;&gt;"b",C9&lt;&gt;"c",C9&lt;&gt;"d",C9&lt;&gt;"e",C9&lt;&gt;"f",C9&lt;&gt;"g",C9&lt;&gt;"h",C9&lt;&gt;"i")</formula>
    </cfRule>
  </conditionalFormatting>
  <conditionalFormatting sqref="D9:D39">
    <cfRule type="cellIs" priority="31" dxfId="9" operator="lessThan" stopIfTrue="1">
      <formula>0</formula>
    </cfRule>
    <cfRule type="cellIs" priority="32" dxfId="8" operator="greaterThan" stopIfTrue="1">
      <formula>0</formula>
    </cfRule>
    <cfRule type="expression" priority="33" dxfId="7" stopIfTrue="1">
      <formula>AND(C9&lt;&gt;"",C9&lt;&gt;"i")</formula>
    </cfRule>
  </conditionalFormatting>
  <conditionalFormatting sqref="H9">
    <cfRule type="expression" priority="7" dxfId="6" stopIfTrue="1">
      <formula>C9="a"</formula>
    </cfRule>
    <cfRule type="expression" priority="8" dxfId="5" stopIfTrue="1">
      <formula>OR(C9="b",C9="c")</formula>
    </cfRule>
    <cfRule type="expression" priority="9" dxfId="0" stopIfTrue="1">
      <formula>OR(C9="d",C9="e")</formula>
    </cfRule>
  </conditionalFormatting>
  <conditionalFormatting sqref="D9:D39">
    <cfRule type="cellIs" priority="1" dxfId="9" operator="lessThan" stopIfTrue="1">
      <formula>0</formula>
    </cfRule>
    <cfRule type="cellIs" priority="2" dxfId="8" operator="greaterThan" stopIfTrue="1">
      <formula>0</formula>
    </cfRule>
    <cfRule type="expression" priority="3" dxfId="7" stopIfTrue="1">
      <formula>AND(C9&lt;&gt;"",OR(PN_LogisOuiNon=1,AND(PN_LogisOuiNon=2,C9&lt;&gt;"j")))</formula>
    </cfRule>
  </conditionalFormatting>
  <conditionalFormatting sqref="D9:D39">
    <cfRule type="cellIs" priority="4" dxfId="9" operator="lessThan" stopIfTrue="1">
      <formula>0</formula>
    </cfRule>
    <cfRule type="cellIs" priority="5" dxfId="8" operator="greaterThan" stopIfTrue="1">
      <formula>0</formula>
    </cfRule>
    <cfRule type="expression" priority="6" dxfId="7" stopIfTrue="1">
      <formula>AND(C9&lt;&gt;"",OR(PN_LogisOuiNon=1,AND(PN_LogisOuiNon=2,C9&lt;&gt;"i")))</formula>
    </cfRule>
  </conditionalFormatting>
  <hyperlinks>
    <hyperlink ref="C3:C8" location="Help_Code" display="Help_Code"/>
  </hyperlinks>
  <printOptions horizontalCentered="1" verticalCentered="1"/>
  <pageMargins left="0.3937007874015748" right="0.3937007874015748" top="0.5905511811023623" bottom="0.3937007874015748" header="0.5118110236220472" footer="0.31496062992125984"/>
  <pageSetup horizontalDpi="600" verticalDpi="600" orientation="portrait" paperSize="9" r:id="rId1"/>
  <headerFooter alignWithMargins="0">
    <oddFooter>&amp;L&amp;A&amp;RPage &amp;P</oddFooter>
  </headerFooter>
</worksheet>
</file>

<file path=xl/worksheets/sheet6.xml><?xml version="1.0" encoding="utf-8"?>
<worksheet xmlns="http://schemas.openxmlformats.org/spreadsheetml/2006/main" xmlns:r="http://schemas.openxmlformats.org/officeDocument/2006/relationships">
  <sheetPr codeName="Sheet7"/>
  <dimension ref="A1:Q51"/>
  <sheetViews>
    <sheetView zoomScalePageLayoutView="0" workbookViewId="0" topLeftCell="B1">
      <pane xSplit="1" ySplit="8" topLeftCell="C9" activePane="bottomRight" state="frozen"/>
      <selection pane="topLeft" activeCell="C9" sqref="C9"/>
      <selection pane="topRight" activeCell="C9" sqref="C9"/>
      <selection pane="bottomLeft" activeCell="C9" sqref="C9"/>
      <selection pane="bottomRight" activeCell="C9" sqref="C9"/>
    </sheetView>
  </sheetViews>
  <sheetFormatPr defaultColWidth="9.140625" defaultRowHeight="12.75"/>
  <cols>
    <col min="1" max="1" width="4.7109375" style="7" hidden="1" customWidth="1"/>
    <col min="2" max="2" width="14.7109375" style="7" customWidth="1"/>
    <col min="3" max="7" width="3.7109375" style="7" customWidth="1"/>
    <col min="8" max="9" width="8.7109375" style="8" customWidth="1"/>
    <col min="10" max="10" width="38.7109375" style="7" customWidth="1"/>
    <col min="11" max="11" width="2.7109375" style="7" hidden="1" customWidth="1"/>
    <col min="12" max="12" width="27.421875" style="9" customWidth="1"/>
    <col min="13" max="13" width="12.140625" style="9" customWidth="1"/>
    <col min="14" max="14" width="12.7109375" style="9" customWidth="1"/>
    <col min="15" max="15" width="12.7109375" style="33" customWidth="1"/>
    <col min="16" max="16" width="11.00390625" style="9" customWidth="1"/>
    <col min="17" max="17" width="12.7109375" style="9" customWidth="1"/>
    <col min="18" max="16384" width="9.140625" style="2" customWidth="1"/>
  </cols>
  <sheetData>
    <row r="1" spans="1:17" ht="17.25" thickBot="1">
      <c r="A1" s="10"/>
      <c r="B1" s="430" t="str">
        <f>'08'!B1</f>
        <v>Agenda</v>
      </c>
      <c r="C1" s="431"/>
      <c r="D1" s="431"/>
      <c r="E1" s="431"/>
      <c r="F1" s="431"/>
      <c r="G1" s="431"/>
      <c r="H1" s="431"/>
      <c r="I1" s="431"/>
      <c r="J1" s="432"/>
      <c r="K1" s="10"/>
      <c r="L1" s="433" t="str">
        <f>'08'!L1</f>
        <v>Monatliche Lohnabrechnung</v>
      </c>
      <c r="M1" s="434"/>
      <c r="N1" s="434"/>
      <c r="O1" s="434"/>
      <c r="P1" s="434"/>
      <c r="Q1" s="435"/>
    </row>
    <row r="2" spans="1:17" ht="17.25" thickBot="1">
      <c r="A2" s="10"/>
      <c r="B2" s="175" t="str">
        <f>'08'!B2</f>
        <v>Lerndende / r</v>
      </c>
      <c r="C2" s="495" t="str">
        <f>"- "&amp;TRIM(DB_Apprenti)&amp;" -"</f>
        <v>-  -</v>
      </c>
      <c r="D2" s="495"/>
      <c r="E2" s="495"/>
      <c r="F2" s="495"/>
      <c r="G2" s="495"/>
      <c r="H2" s="495"/>
      <c r="I2" s="495"/>
      <c r="J2" s="496"/>
      <c r="K2" s="10"/>
      <c r="L2" s="152"/>
      <c r="M2" s="152"/>
      <c r="N2" s="152"/>
      <c r="O2" s="152"/>
      <c r="P2" s="152"/>
      <c r="Q2" s="152"/>
    </row>
    <row r="3" spans="2:17" ht="15" customHeight="1">
      <c r="B3" s="438">
        <f>DATE(DB_Annee,11,1)</f>
        <v>43770</v>
      </c>
      <c r="C3" s="507" t="str">
        <f>'08'!C3</f>
        <v>[ a-b-c-d-e-f-g-h-i ]</v>
      </c>
      <c r="D3" s="444" t="str">
        <f>'08'!D3</f>
        <v>Übernachtung</v>
      </c>
      <c r="E3" s="447" t="str">
        <f>'08'!E3</f>
        <v>Morgenessen</v>
      </c>
      <c r="F3" s="447" t="str">
        <f>'08'!F3</f>
        <v>Mittagessen</v>
      </c>
      <c r="G3" s="413" t="str">
        <f>'08'!G3</f>
        <v>Abendessen</v>
      </c>
      <c r="H3" s="418" t="str">
        <f>'08'!H3</f>
        <v>Betrag Naturallohn</v>
      </c>
      <c r="I3" s="522" t="str">
        <f>'08'!I3</f>
        <v>Angepasster Betrag</v>
      </c>
      <c r="J3" s="503" t="str">
        <f>'08'!J3</f>
        <v>Kommentar
a = Arbeitstag
b = Schultag
c = überbetrieblicher Kurs (üK)
d = Freitag
e = Ferientag
f = 1/2 Arbeitstag, 1/2 Freitag
g = Unfall (ganz Tag)
h = Krankheit (ganz Tag)
i = Miltär</v>
      </c>
      <c r="L3" s="36" t="str">
        <f>'08'!L3</f>
        <v>Monat:</v>
      </c>
      <c r="M3" s="436">
        <f>B3</f>
        <v>43770</v>
      </c>
      <c r="N3" s="436"/>
      <c r="O3" s="437" t="str">
        <f>'08'!O3</f>
        <v>Jahr:</v>
      </c>
      <c r="P3" s="437">
        <f>'08'!P3</f>
        <v>0</v>
      </c>
      <c r="Q3" s="176">
        <f>B3</f>
        <v>43770</v>
      </c>
    </row>
    <row r="4" spans="1:17" ht="15">
      <c r="A4" s="10"/>
      <c r="B4" s="439"/>
      <c r="C4" s="508">
        <f>'08'!C4</f>
        <v>0</v>
      </c>
      <c r="D4" s="445">
        <f>'08'!D4</f>
        <v>0</v>
      </c>
      <c r="E4" s="448">
        <f>'08'!E4</f>
        <v>0</v>
      </c>
      <c r="F4" s="448">
        <f>'08'!F4</f>
        <v>0</v>
      </c>
      <c r="G4" s="414">
        <f>'08'!G4</f>
        <v>0</v>
      </c>
      <c r="H4" s="419">
        <f>'08'!H4</f>
        <v>0</v>
      </c>
      <c r="I4" s="523">
        <f>'08'!I4</f>
        <v>0</v>
      </c>
      <c r="J4" s="524">
        <f>'08'!J4</f>
        <v>0</v>
      </c>
      <c r="K4" s="10"/>
      <c r="L4" s="34"/>
      <c r="M4" s="34"/>
      <c r="N4" s="37"/>
      <c r="O4" s="36"/>
      <c r="P4" s="11"/>
      <c r="Q4" s="11"/>
    </row>
    <row r="5" spans="1:17" ht="15">
      <c r="A5" s="10"/>
      <c r="B5" s="439"/>
      <c r="C5" s="508">
        <f>'08'!C5</f>
        <v>0</v>
      </c>
      <c r="D5" s="445">
        <f>'08'!D5</f>
        <v>0</v>
      </c>
      <c r="E5" s="448">
        <f>'08'!E5</f>
        <v>0</v>
      </c>
      <c r="F5" s="448">
        <f>'08'!F5</f>
        <v>0</v>
      </c>
      <c r="G5" s="414">
        <f>'08'!G5</f>
        <v>0</v>
      </c>
      <c r="H5" s="419">
        <f>'08'!H5</f>
        <v>0</v>
      </c>
      <c r="I5" s="523">
        <f>'08'!I5</f>
        <v>0</v>
      </c>
      <c r="J5" s="524">
        <f>'08'!J5</f>
        <v>0</v>
      </c>
      <c r="K5" s="10"/>
      <c r="L5" s="36" t="str">
        <f>'08'!L5</f>
        <v>Berufsbildner</v>
      </c>
      <c r="M5" s="416">
        <f>TRIM(DB_Maitre)</f>
      </c>
      <c r="N5" s="416"/>
      <c r="O5" s="416"/>
      <c r="P5" s="416"/>
      <c r="Q5" s="416"/>
    </row>
    <row r="6" spans="1:17" ht="15">
      <c r="A6" s="10"/>
      <c r="B6" s="439"/>
      <c r="C6" s="508">
        <f>'08'!C6</f>
        <v>0</v>
      </c>
      <c r="D6" s="445">
        <f>'08'!D6</f>
        <v>0</v>
      </c>
      <c r="E6" s="448">
        <f>'08'!E6</f>
        <v>0</v>
      </c>
      <c r="F6" s="448">
        <f>'08'!F6</f>
        <v>0</v>
      </c>
      <c r="G6" s="414">
        <f>'08'!G6</f>
        <v>0</v>
      </c>
      <c r="H6" s="419">
        <f>'08'!H6</f>
        <v>0</v>
      </c>
      <c r="I6" s="523">
        <f>'08'!I6</f>
        <v>0</v>
      </c>
      <c r="J6" s="524">
        <f>'08'!J6</f>
        <v>0</v>
      </c>
      <c r="K6" s="10"/>
      <c r="L6" s="36" t="str">
        <f>'08'!L6</f>
        <v>Ort</v>
      </c>
      <c r="M6" s="417">
        <f>TRIM(DB_MaitreLieu)</f>
      </c>
      <c r="N6" s="417"/>
      <c r="O6" s="417"/>
      <c r="P6" s="417"/>
      <c r="Q6" s="417"/>
    </row>
    <row r="7" spans="1:17" ht="15">
      <c r="A7" s="10"/>
      <c r="B7" s="439"/>
      <c r="C7" s="508">
        <f>'08'!C7</f>
        <v>0</v>
      </c>
      <c r="D7" s="445">
        <f>'08'!D7</f>
        <v>0</v>
      </c>
      <c r="E7" s="448">
        <f>'08'!E7</f>
        <v>0</v>
      </c>
      <c r="F7" s="448">
        <f>'08'!F7</f>
        <v>0</v>
      </c>
      <c r="G7" s="414">
        <f>'08'!G7</f>
        <v>0</v>
      </c>
      <c r="H7" s="419">
        <f>'08'!H7</f>
        <v>0</v>
      </c>
      <c r="I7" s="523">
        <f>'08'!I7</f>
        <v>0</v>
      </c>
      <c r="J7" s="524">
        <f>'08'!J7</f>
        <v>0</v>
      </c>
      <c r="K7" s="10"/>
      <c r="L7" s="36" t="str">
        <f>'08'!L7</f>
        <v>Lernende / r</v>
      </c>
      <c r="M7" s="417">
        <f>TRIM(DB_Apprenti)</f>
      </c>
      <c r="N7" s="417"/>
      <c r="O7" s="417"/>
      <c r="P7" s="417"/>
      <c r="Q7" s="417"/>
    </row>
    <row r="8" spans="2:17" ht="15.75" thickBot="1">
      <c r="B8" s="440"/>
      <c r="C8" s="509">
        <f>'08'!C8</f>
        <v>0</v>
      </c>
      <c r="D8" s="446">
        <f>'08'!D8</f>
        <v>0</v>
      </c>
      <c r="E8" s="449">
        <f>'08'!E8</f>
        <v>0</v>
      </c>
      <c r="F8" s="449">
        <f>'08'!F8</f>
        <v>0</v>
      </c>
      <c r="G8" s="415">
        <f>'08'!G8</f>
        <v>0</v>
      </c>
      <c r="H8" s="420">
        <f>'08'!H8</f>
        <v>0</v>
      </c>
      <c r="I8" s="423">
        <f>'08'!I8</f>
        <v>0</v>
      </c>
      <c r="J8" s="525">
        <f>'08'!J8</f>
        <v>0</v>
      </c>
      <c r="L8" s="36" t="str">
        <f>'08'!L8</f>
        <v>AHV-Nummer</v>
      </c>
      <c r="M8" s="417">
        <f>TRIM(DB_AVS)</f>
      </c>
      <c r="N8" s="417"/>
      <c r="P8" s="3" t="str">
        <f>'08'!P8</f>
        <v>Geburtsdatum</v>
      </c>
      <c r="Q8" s="42">
        <f>IF(DB_DateNaissance=0,"",DB_DateNaissance)</f>
      </c>
    </row>
    <row r="9" spans="2:11" ht="15">
      <c r="B9" s="87">
        <f>B3</f>
        <v>43770</v>
      </c>
      <c r="C9" s="154"/>
      <c r="D9" s="359"/>
      <c r="E9" s="268"/>
      <c r="F9" s="268"/>
      <c r="G9" s="269"/>
      <c r="H9" s="12">
        <f aca="true" t="shared" si="0" ref="H9:H39">MAX(IF(C9="a",PN_Travail,IF(C9="b",PN_CoursProf,IF(C9="c",PN_CoursIE,IF(C9="d",PN_Conge,0)))),IF(C9="e",PN_Vacances,IF(C9="f",PN_DemiJour,IF(C9="g",PN_Accident,IF(C9="h",PN_Maladie,IF(C9="i",PN_Armee,0))))))</f>
        <v>0</v>
      </c>
      <c r="I9" s="13">
        <f>H9+D9*PN_Logis+E9*PN_Dejeuner+F9*PN_Diner+G9*PN_Souper</f>
        <v>0</v>
      </c>
      <c r="J9" s="161"/>
      <c r="K9" s="14"/>
    </row>
    <row r="10" spans="2:10" ht="15">
      <c r="B10" s="15">
        <f>B9+1</f>
        <v>43771</v>
      </c>
      <c r="C10" s="154"/>
      <c r="D10" s="359"/>
      <c r="E10" s="268"/>
      <c r="F10" s="268"/>
      <c r="G10" s="269"/>
      <c r="H10" s="12">
        <f t="shared" si="0"/>
        <v>0</v>
      </c>
      <c r="I10" s="13">
        <f aca="true" t="shared" si="1" ref="I10:I39">H10+D10*PN_Logis+E10*PN_Dejeuner+F10*PN_Diner+G10*PN_Souper</f>
        <v>0</v>
      </c>
      <c r="J10" s="190"/>
    </row>
    <row r="11" spans="1:17" ht="15">
      <c r="A11" s="163">
        <v>230</v>
      </c>
      <c r="B11" s="15">
        <f aca="true" t="shared" si="2" ref="B11:B38">B10+1</f>
        <v>43772</v>
      </c>
      <c r="C11" s="154"/>
      <c r="D11" s="359"/>
      <c r="E11" s="268"/>
      <c r="F11" s="268"/>
      <c r="G11" s="269"/>
      <c r="H11" s="12">
        <f t="shared" si="0"/>
        <v>0</v>
      </c>
      <c r="I11" s="13">
        <f t="shared" si="1"/>
        <v>0</v>
      </c>
      <c r="J11" s="190"/>
      <c r="L11" s="39" t="str">
        <f>'08'!L11</f>
        <v>Bruttolohn  </v>
      </c>
      <c r="M11" s="34" t="e">
        <f>IF(PN_EffMoy=0,SUBSTITUTE(VLOOKUP(A11+1,Tb_Traduction,DB_Langue,FALSE),"***",TEXT(J40,"0.00")),"")</f>
        <v>#N/A</v>
      </c>
      <c r="N11" s="34"/>
      <c r="O11" s="38"/>
      <c r="P11" s="45"/>
      <c r="Q11" s="49" t="e">
        <f>IF(OR(PN_EffMoy=0,Nb_Mois&lt;&gt;12),Sa_BaseMensuelArrondi/H42*C40,Sa_BaseMensuelArrondi)</f>
        <v>#N/A</v>
      </c>
    </row>
    <row r="12" spans="2:17" ht="15">
      <c r="B12" s="15">
        <f t="shared" si="2"/>
        <v>43773</v>
      </c>
      <c r="C12" s="154"/>
      <c r="D12" s="359"/>
      <c r="E12" s="268"/>
      <c r="F12" s="268"/>
      <c r="G12" s="269"/>
      <c r="H12" s="12">
        <f t="shared" si="0"/>
        <v>0</v>
      </c>
      <c r="I12" s="13">
        <f t="shared" si="1"/>
        <v>0</v>
      </c>
      <c r="J12" s="190"/>
      <c r="L12" s="9" t="str">
        <f>'08'!L12</f>
        <v>Prämie, Bonus, Gratifikation</v>
      </c>
      <c r="Q12" s="155"/>
    </row>
    <row r="13" spans="2:17" ht="15">
      <c r="B13" s="15">
        <f t="shared" si="2"/>
        <v>43774</v>
      </c>
      <c r="C13" s="154"/>
      <c r="D13" s="359"/>
      <c r="E13" s="268"/>
      <c r="F13" s="268"/>
      <c r="G13" s="269"/>
      <c r="H13" s="12">
        <f t="shared" si="0"/>
        <v>0</v>
      </c>
      <c r="I13" s="13">
        <f t="shared" si="1"/>
        <v>0</v>
      </c>
      <c r="J13" s="190"/>
      <c r="L13" s="88" t="str">
        <f>'08'!L13</f>
        <v>Bruttolohn total</v>
      </c>
      <c r="Q13" s="89" t="e">
        <f>SUM(Q11:Q12)</f>
        <v>#N/A</v>
      </c>
    </row>
    <row r="14" spans="2:10" ht="15">
      <c r="B14" s="15">
        <f t="shared" si="2"/>
        <v>43775</v>
      </c>
      <c r="C14" s="154"/>
      <c r="D14" s="359"/>
      <c r="E14" s="268"/>
      <c r="F14" s="268"/>
      <c r="G14" s="269"/>
      <c r="H14" s="12">
        <f t="shared" si="0"/>
        <v>0</v>
      </c>
      <c r="I14" s="13">
        <f t="shared" si="1"/>
        <v>0</v>
      </c>
      <c r="J14" s="190"/>
    </row>
    <row r="15" spans="2:17" ht="15">
      <c r="B15" s="15">
        <f t="shared" si="2"/>
        <v>43776</v>
      </c>
      <c r="C15" s="154"/>
      <c r="D15" s="359"/>
      <c r="E15" s="268"/>
      <c r="F15" s="268"/>
      <c r="G15" s="269"/>
      <c r="H15" s="12">
        <f t="shared" si="0"/>
        <v>0</v>
      </c>
      <c r="I15" s="13">
        <f t="shared" si="1"/>
        <v>0</v>
      </c>
      <c r="J15" s="190"/>
      <c r="L15" s="39" t="str">
        <f>'08'!L15</f>
        <v>Abzüge</v>
      </c>
      <c r="M15" s="11" t="str">
        <f>'08'!M15</f>
        <v>Anteil</v>
      </c>
      <c r="N15" s="11" t="s">
        <v>37</v>
      </c>
      <c r="O15" s="38"/>
      <c r="P15" s="45"/>
      <c r="Q15" s="46"/>
    </row>
    <row r="16" spans="2:17" ht="15">
      <c r="B16" s="15">
        <f t="shared" si="2"/>
        <v>43777</v>
      </c>
      <c r="C16" s="154"/>
      <c r="D16" s="359"/>
      <c r="E16" s="268"/>
      <c r="F16" s="268"/>
      <c r="G16" s="269"/>
      <c r="H16" s="12">
        <f t="shared" si="0"/>
        <v>0</v>
      </c>
      <c r="I16" s="13">
        <f t="shared" si="1"/>
        <v>0</v>
      </c>
      <c r="J16" s="190"/>
      <c r="L16" s="48" t="str">
        <f>'08'!L16</f>
        <v>Beiträge AHV, IV, EO*:</v>
      </c>
      <c r="M16" s="43" t="s">
        <v>50</v>
      </c>
      <c r="N16" s="44">
        <f>IF(B3&gt;=DB_SoumisAVS,RS_AVS,0)</f>
        <v>0.05125</v>
      </c>
      <c r="O16" s="38"/>
      <c r="P16" s="50" t="e">
        <f>$Q$13*N16</f>
        <v>#N/A</v>
      </c>
      <c r="Q16" s="46"/>
    </row>
    <row r="17" spans="2:17" ht="15">
      <c r="B17" s="15">
        <f t="shared" si="2"/>
        <v>43778</v>
      </c>
      <c r="C17" s="154"/>
      <c r="D17" s="359"/>
      <c r="E17" s="268"/>
      <c r="F17" s="268"/>
      <c r="G17" s="269"/>
      <c r="H17" s="12">
        <f t="shared" si="0"/>
        <v>0</v>
      </c>
      <c r="I17" s="13">
        <f t="shared" si="1"/>
        <v>0</v>
      </c>
      <c r="J17" s="190"/>
      <c r="L17" s="48" t="str">
        <f>'08'!L17</f>
        <v>Beiträge ALV*:</v>
      </c>
      <c r="M17" s="43" t="s">
        <v>50</v>
      </c>
      <c r="N17" s="44">
        <f>IF(B3&gt;=DB_SoumisAVS,RS_AC,0)</f>
        <v>0.011</v>
      </c>
      <c r="O17" s="38"/>
      <c r="P17" s="50" t="e">
        <f>$Q$13*N17</f>
        <v>#N/A</v>
      </c>
      <c r="Q17" s="46"/>
    </row>
    <row r="18" spans="2:17" ht="15">
      <c r="B18" s="15">
        <f t="shared" si="2"/>
        <v>43779</v>
      </c>
      <c r="C18" s="154"/>
      <c r="D18" s="359"/>
      <c r="E18" s="268"/>
      <c r="F18" s="268"/>
      <c r="G18" s="269"/>
      <c r="H18" s="12">
        <f t="shared" si="0"/>
        <v>0</v>
      </c>
      <c r="I18" s="13">
        <f t="shared" si="1"/>
        <v>0</v>
      </c>
      <c r="J18" s="190"/>
      <c r="L18" s="48" t="str">
        <f>'08'!L18</f>
        <v>Nichtbetriebsunfall:</v>
      </c>
      <c r="M18" s="43" t="s">
        <v>244</v>
      </c>
      <c r="N18" s="44">
        <f>RS_ANP</f>
        <v>0.01641</v>
      </c>
      <c r="O18" s="38"/>
      <c r="P18" s="51" t="e">
        <f>$Q$13*N18</f>
        <v>#N/A</v>
      </c>
      <c r="Q18" s="46"/>
    </row>
    <row r="19" spans="2:17" ht="15">
      <c r="B19" s="15">
        <f t="shared" si="2"/>
        <v>43780</v>
      </c>
      <c r="C19" s="154"/>
      <c r="D19" s="359"/>
      <c r="E19" s="268"/>
      <c r="F19" s="268"/>
      <c r="G19" s="269"/>
      <c r="H19" s="12">
        <f t="shared" si="0"/>
        <v>0</v>
      </c>
      <c r="I19" s="13">
        <f t="shared" si="1"/>
        <v>0</v>
      </c>
      <c r="J19" s="190"/>
      <c r="L19" s="48" t="str">
        <f>'08'!L19</f>
        <v>Krankentaggeld:</v>
      </c>
      <c r="M19" s="43" t="s">
        <v>50</v>
      </c>
      <c r="N19" s="44">
        <f>RS_MC</f>
        <v>0.0044</v>
      </c>
      <c r="O19" s="38"/>
      <c r="P19" s="50" t="e">
        <f>$Q$13*N19</f>
        <v>#N/A</v>
      </c>
      <c r="Q19" s="46"/>
    </row>
    <row r="20" spans="2:16" ht="15">
      <c r="B20" s="15">
        <f t="shared" si="2"/>
        <v>43781</v>
      </c>
      <c r="C20" s="154"/>
      <c r="D20" s="359"/>
      <c r="E20" s="268"/>
      <c r="F20" s="268"/>
      <c r="G20" s="269"/>
      <c r="H20" s="12">
        <f t="shared" si="0"/>
        <v>0</v>
      </c>
      <c r="I20" s="13">
        <f t="shared" si="1"/>
        <v>0</v>
      </c>
      <c r="J20" s="190"/>
      <c r="L20" s="48" t="str">
        <f>'08'!L20</f>
        <v>Anderer Abzug:</v>
      </c>
      <c r="M20" s="511"/>
      <c r="N20" s="511"/>
      <c r="O20" s="38"/>
      <c r="P20" s="160"/>
    </row>
    <row r="21" spans="2:16" ht="15">
      <c r="B21" s="15">
        <f t="shared" si="2"/>
        <v>43782</v>
      </c>
      <c r="C21" s="154"/>
      <c r="D21" s="359"/>
      <c r="E21" s="268"/>
      <c r="F21" s="268"/>
      <c r="G21" s="269"/>
      <c r="H21" s="12">
        <f t="shared" si="0"/>
        <v>0</v>
      </c>
      <c r="I21" s="13">
        <f t="shared" si="1"/>
        <v>0</v>
      </c>
      <c r="J21" s="190"/>
      <c r="L21" s="38" t="e">
        <f>'08'!L21</f>
        <v>#N/A</v>
      </c>
      <c r="M21" s="34"/>
      <c r="N21" s="34"/>
      <c r="O21" s="38"/>
      <c r="P21" s="50" t="e">
        <f>IF(PN_EffMoy=0,I40,IF(Nb_Mois=12,Sa_NatureMensuelArrondi,Sa_NatureMensuelArrondi*C40/H42))</f>
        <v>#N/A</v>
      </c>
    </row>
    <row r="22" spans="2:16" ht="15">
      <c r="B22" s="15">
        <f t="shared" si="2"/>
        <v>43783</v>
      </c>
      <c r="C22" s="154"/>
      <c r="D22" s="359"/>
      <c r="E22" s="268"/>
      <c r="F22" s="268"/>
      <c r="G22" s="269"/>
      <c r="H22" s="12">
        <f t="shared" si="0"/>
        <v>0</v>
      </c>
      <c r="I22" s="13">
        <f t="shared" si="1"/>
        <v>0</v>
      </c>
      <c r="J22" s="190"/>
      <c r="L22" s="41" t="str">
        <f>'08'!L22</f>
        <v>*) sofern pflichtig</v>
      </c>
      <c r="P22" s="47"/>
    </row>
    <row r="23" spans="2:17" ht="15">
      <c r="B23" s="15">
        <f t="shared" si="2"/>
        <v>43784</v>
      </c>
      <c r="C23" s="154"/>
      <c r="D23" s="359"/>
      <c r="E23" s="268"/>
      <c r="F23" s="268"/>
      <c r="G23" s="269"/>
      <c r="H23" s="12">
        <f t="shared" si="0"/>
        <v>0</v>
      </c>
      <c r="I23" s="13">
        <f t="shared" si="1"/>
        <v>0</v>
      </c>
      <c r="J23" s="190"/>
      <c r="Q23" s="46"/>
    </row>
    <row r="24" spans="2:17" ht="15">
      <c r="B24" s="15">
        <f t="shared" si="2"/>
        <v>43785</v>
      </c>
      <c r="C24" s="154"/>
      <c r="D24" s="359"/>
      <c r="E24" s="268"/>
      <c r="F24" s="268"/>
      <c r="G24" s="269"/>
      <c r="H24" s="12">
        <f t="shared" si="0"/>
        <v>0</v>
      </c>
      <c r="I24" s="13">
        <f t="shared" si="1"/>
        <v>0</v>
      </c>
      <c r="J24" s="190"/>
      <c r="L24" s="39" t="str">
        <f>'08'!L24</f>
        <v>Total Abzüge</v>
      </c>
      <c r="Q24" s="49" t="e">
        <f>INT((SUM(P16:P21)*20)+0.5)/20</f>
        <v>#N/A</v>
      </c>
    </row>
    <row r="25" spans="2:17" ht="15">
      <c r="B25" s="15">
        <f t="shared" si="2"/>
        <v>43786</v>
      </c>
      <c r="C25" s="154"/>
      <c r="D25" s="359"/>
      <c r="E25" s="268"/>
      <c r="F25" s="268"/>
      <c r="G25" s="269"/>
      <c r="H25" s="12">
        <f t="shared" si="0"/>
        <v>0</v>
      </c>
      <c r="I25" s="13">
        <f t="shared" si="1"/>
        <v>0</v>
      </c>
      <c r="J25" s="190"/>
      <c r="Q25" s="47"/>
    </row>
    <row r="26" spans="2:17" ht="15">
      <c r="B26" s="15">
        <f t="shared" si="2"/>
        <v>43787</v>
      </c>
      <c r="C26" s="154"/>
      <c r="D26" s="359"/>
      <c r="E26" s="268"/>
      <c r="F26" s="268"/>
      <c r="G26" s="269"/>
      <c r="H26" s="12">
        <f t="shared" si="0"/>
        <v>0</v>
      </c>
      <c r="I26" s="13">
        <f t="shared" si="1"/>
        <v>0</v>
      </c>
      <c r="J26" s="190"/>
      <c r="L26" s="39" t="str">
        <f>'08'!L26</f>
        <v>Rückvergügungen</v>
      </c>
      <c r="M26" s="34"/>
      <c r="N26" s="34"/>
      <c r="O26" s="38"/>
      <c r="P26" s="45"/>
      <c r="Q26" s="46"/>
    </row>
    <row r="27" spans="2:17" ht="15">
      <c r="B27" s="15">
        <f t="shared" si="2"/>
        <v>43788</v>
      </c>
      <c r="C27" s="154"/>
      <c r="D27" s="359"/>
      <c r="E27" s="268"/>
      <c r="F27" s="268"/>
      <c r="G27" s="269"/>
      <c r="H27" s="12">
        <f t="shared" si="0"/>
        <v>0</v>
      </c>
      <c r="I27" s="13">
        <f t="shared" si="1"/>
        <v>0</v>
      </c>
      <c r="J27" s="190"/>
      <c r="L27" s="38" t="str">
        <f>'08'!L27</f>
        <v>Kostenbeteiligungen</v>
      </c>
      <c r="M27" s="511"/>
      <c r="N27" s="511"/>
      <c r="O27" s="38"/>
      <c r="P27" s="159"/>
      <c r="Q27" s="46"/>
    </row>
    <row r="28" spans="2:17" ht="15">
      <c r="B28" s="15">
        <f t="shared" si="2"/>
        <v>43789</v>
      </c>
      <c r="C28" s="154"/>
      <c r="D28" s="359"/>
      <c r="E28" s="268"/>
      <c r="F28" s="268"/>
      <c r="G28" s="269"/>
      <c r="H28" s="12">
        <f t="shared" si="0"/>
        <v>0</v>
      </c>
      <c r="I28" s="13">
        <f t="shared" si="1"/>
        <v>0</v>
      </c>
      <c r="J28" s="190"/>
      <c r="L28" s="38" t="str">
        <f>'08'!L28</f>
        <v>Übrige Rückvergütungen</v>
      </c>
      <c r="M28" s="512"/>
      <c r="N28" s="512"/>
      <c r="O28" s="38"/>
      <c r="P28" s="160"/>
      <c r="Q28" s="46"/>
    </row>
    <row r="29" spans="2:10" ht="15">
      <c r="B29" s="15">
        <f t="shared" si="2"/>
        <v>43790</v>
      </c>
      <c r="C29" s="154"/>
      <c r="D29" s="359"/>
      <c r="E29" s="268"/>
      <c r="F29" s="268"/>
      <c r="G29" s="269"/>
      <c r="H29" s="12">
        <f t="shared" si="0"/>
        <v>0</v>
      </c>
      <c r="I29" s="13">
        <f t="shared" si="1"/>
        <v>0</v>
      </c>
      <c r="J29" s="190"/>
    </row>
    <row r="30" spans="2:17" ht="15">
      <c r="B30" s="15">
        <f t="shared" si="2"/>
        <v>43791</v>
      </c>
      <c r="C30" s="154"/>
      <c r="D30" s="359"/>
      <c r="E30" s="268"/>
      <c r="F30" s="268"/>
      <c r="G30" s="269"/>
      <c r="H30" s="12">
        <f t="shared" si="0"/>
        <v>0</v>
      </c>
      <c r="I30" s="13">
        <f t="shared" si="1"/>
        <v>0</v>
      </c>
      <c r="J30" s="190"/>
      <c r="L30" s="39" t="str">
        <f>'08'!L30</f>
        <v>Zuschläge</v>
      </c>
      <c r="M30" s="34"/>
      <c r="N30" s="34"/>
      <c r="O30" s="38"/>
      <c r="P30" s="45"/>
      <c r="Q30" s="52">
        <f>SUM(P27:P28)</f>
        <v>0</v>
      </c>
    </row>
    <row r="31" spans="2:17" ht="15">
      <c r="B31" s="15">
        <f t="shared" si="2"/>
        <v>43792</v>
      </c>
      <c r="C31" s="154"/>
      <c r="D31" s="359"/>
      <c r="E31" s="268"/>
      <c r="F31" s="268"/>
      <c r="G31" s="269"/>
      <c r="H31" s="12">
        <f t="shared" si="0"/>
        <v>0</v>
      </c>
      <c r="I31" s="13">
        <f t="shared" si="1"/>
        <v>0</v>
      </c>
      <c r="J31" s="190"/>
      <c r="L31" s="34"/>
      <c r="M31" s="34"/>
      <c r="N31" s="34"/>
      <c r="O31" s="38"/>
      <c r="P31" s="45"/>
      <c r="Q31" s="46"/>
    </row>
    <row r="32" spans="2:17" ht="15">
      <c r="B32" s="15">
        <f t="shared" si="2"/>
        <v>43793</v>
      </c>
      <c r="C32" s="154"/>
      <c r="D32" s="359"/>
      <c r="E32" s="268"/>
      <c r="F32" s="268"/>
      <c r="G32" s="269"/>
      <c r="H32" s="12">
        <f t="shared" si="0"/>
        <v>0</v>
      </c>
      <c r="I32" s="13">
        <f t="shared" si="1"/>
        <v>0</v>
      </c>
      <c r="J32" s="190"/>
      <c r="L32" s="39" t="str">
        <f>'08'!L32</f>
        <v>Netto-Auszahlung</v>
      </c>
      <c r="M32" s="34"/>
      <c r="N32" s="34"/>
      <c r="O32" s="38"/>
      <c r="P32" s="45"/>
      <c r="Q32" s="53" t="e">
        <f>Q13+Q30-Q24</f>
        <v>#N/A</v>
      </c>
    </row>
    <row r="33" spans="2:17" ht="15">
      <c r="B33" s="15">
        <f t="shared" si="2"/>
        <v>43794</v>
      </c>
      <c r="C33" s="154"/>
      <c r="D33" s="359"/>
      <c r="E33" s="268"/>
      <c r="F33" s="268"/>
      <c r="G33" s="269"/>
      <c r="H33" s="12">
        <f t="shared" si="0"/>
        <v>0</v>
      </c>
      <c r="I33" s="13">
        <f t="shared" si="1"/>
        <v>0</v>
      </c>
      <c r="J33" s="190"/>
      <c r="L33" s="34"/>
      <c r="M33" s="386" t="str">
        <f>'08'!M33</f>
        <v>aktueller
Monat</v>
      </c>
      <c r="N33" s="386" t="str">
        <f>'08'!N33</f>
        <v>Summe der
Vormonate</v>
      </c>
      <c r="O33" s="386" t="str">
        <f>'08'!O33</f>
        <v>Jahresvor-
anschlag:</v>
      </c>
      <c r="P33" s="510"/>
      <c r="Q33" s="386" t="str">
        <f>'08'!Q33</f>
        <v>Aktueller
Saldo</v>
      </c>
    </row>
    <row r="34" spans="2:17" ht="15">
      <c r="B34" s="15">
        <f t="shared" si="2"/>
        <v>43795</v>
      </c>
      <c r="C34" s="154"/>
      <c r="D34" s="359"/>
      <c r="E34" s="268"/>
      <c r="F34" s="268"/>
      <c r="G34" s="269"/>
      <c r="H34" s="12">
        <f t="shared" si="0"/>
        <v>0</v>
      </c>
      <c r="I34" s="13">
        <f t="shared" si="1"/>
        <v>0</v>
      </c>
      <c r="J34" s="190"/>
      <c r="L34" s="56" t="str">
        <f>'08'!L34</f>
        <v>Tagesabrechnung</v>
      </c>
      <c r="M34" s="387">
        <f>'08'!M34</f>
        <v>0</v>
      </c>
      <c r="N34" s="387">
        <f>'08'!N34</f>
        <v>0</v>
      </c>
      <c r="O34" s="387">
        <f>'08'!O34</f>
        <v>0</v>
      </c>
      <c r="P34" s="510"/>
      <c r="Q34" s="387">
        <f>'08'!Q34</f>
        <v>0</v>
      </c>
    </row>
    <row r="35" spans="2:17" ht="15">
      <c r="B35" s="15">
        <f t="shared" si="2"/>
        <v>43796</v>
      </c>
      <c r="C35" s="154"/>
      <c r="D35" s="359"/>
      <c r="E35" s="268"/>
      <c r="F35" s="268"/>
      <c r="G35" s="269"/>
      <c r="H35" s="12">
        <f t="shared" si="0"/>
        <v>0</v>
      </c>
      <c r="I35" s="13">
        <f t="shared" si="1"/>
        <v>0</v>
      </c>
      <c r="J35" s="190"/>
      <c r="L35" s="287" t="str">
        <f>'08'!L35</f>
        <v>Arbeit:</v>
      </c>
      <c r="M35" s="262">
        <f aca="true" t="shared" si="3" ref="M35:N38">H43</f>
        <v>0</v>
      </c>
      <c r="N35" s="262">
        <f t="shared" si="3"/>
        <v>0</v>
      </c>
      <c r="O35" s="262" t="e">
        <f>NJ_Travail</f>
        <v>#N/A</v>
      </c>
      <c r="Q35" s="263" t="e">
        <f aca="true" t="shared" si="4" ref="Q35:Q42">O35-N35-M35</f>
        <v>#N/A</v>
      </c>
    </row>
    <row r="36" spans="2:17" ht="15">
      <c r="B36" s="15">
        <f t="shared" si="2"/>
        <v>43797</v>
      </c>
      <c r="C36" s="154"/>
      <c r="D36" s="359"/>
      <c r="E36" s="268"/>
      <c r="F36" s="268"/>
      <c r="G36" s="269"/>
      <c r="H36" s="12">
        <f t="shared" si="0"/>
        <v>0</v>
      </c>
      <c r="I36" s="13">
        <f t="shared" si="1"/>
        <v>0</v>
      </c>
      <c r="J36" s="190"/>
      <c r="L36" s="287" t="str">
        <f>'08'!L36</f>
        <v>Schultage:</v>
      </c>
      <c r="M36" s="178">
        <f t="shared" si="3"/>
        <v>0</v>
      </c>
      <c r="N36" s="178">
        <f t="shared" si="3"/>
        <v>0</v>
      </c>
      <c r="O36" s="178" t="e">
        <f>NJ_CoursProf</f>
        <v>#N/A</v>
      </c>
      <c r="Q36" s="179" t="e">
        <f t="shared" si="4"/>
        <v>#N/A</v>
      </c>
    </row>
    <row r="37" spans="2:17" ht="15">
      <c r="B37" s="15">
        <f t="shared" si="2"/>
        <v>43798</v>
      </c>
      <c r="C37" s="154"/>
      <c r="D37" s="359"/>
      <c r="E37" s="268"/>
      <c r="F37" s="268"/>
      <c r="G37" s="269"/>
      <c r="H37" s="12">
        <f t="shared" si="0"/>
        <v>0</v>
      </c>
      <c r="I37" s="13">
        <f t="shared" si="1"/>
        <v>0</v>
      </c>
      <c r="J37" s="190"/>
      <c r="L37" s="287" t="str">
        <f>'08'!L37</f>
        <v>üK:</v>
      </c>
      <c r="M37" s="178">
        <f t="shared" si="3"/>
        <v>0</v>
      </c>
      <c r="N37" s="178">
        <f t="shared" si="3"/>
        <v>0</v>
      </c>
      <c r="O37" s="178" t="e">
        <f>NJ_CoursIE</f>
        <v>#N/A</v>
      </c>
      <c r="Q37" s="179" t="e">
        <f t="shared" si="4"/>
        <v>#N/A</v>
      </c>
    </row>
    <row r="38" spans="2:17" ht="15">
      <c r="B38" s="15">
        <f t="shared" si="2"/>
        <v>43799</v>
      </c>
      <c r="C38" s="154"/>
      <c r="D38" s="359"/>
      <c r="E38" s="268"/>
      <c r="F38" s="268"/>
      <c r="G38" s="269"/>
      <c r="H38" s="12">
        <f t="shared" si="0"/>
        <v>0</v>
      </c>
      <c r="I38" s="13">
        <f t="shared" si="1"/>
        <v>0</v>
      </c>
      <c r="J38" s="190"/>
      <c r="L38" s="287" t="str">
        <f>'08'!L38</f>
        <v>Militär:</v>
      </c>
      <c r="M38" s="178">
        <f t="shared" si="3"/>
        <v>0</v>
      </c>
      <c r="N38" s="178">
        <f t="shared" si="3"/>
        <v>0</v>
      </c>
      <c r="O38" s="178">
        <f>NJ_Bloc</f>
        <v>0</v>
      </c>
      <c r="Q38" s="179">
        <f t="shared" si="4"/>
        <v>0</v>
      </c>
    </row>
    <row r="39" spans="2:17" ht="15.75" thickBot="1">
      <c r="B39" s="57"/>
      <c r="C39" s="180"/>
      <c r="D39" s="360"/>
      <c r="E39" s="348"/>
      <c r="F39" s="348"/>
      <c r="G39" s="349"/>
      <c r="H39" s="181">
        <f t="shared" si="0"/>
        <v>0</v>
      </c>
      <c r="I39" s="181">
        <f t="shared" si="1"/>
        <v>0</v>
      </c>
      <c r="J39" s="191"/>
      <c r="L39" s="287" t="str">
        <f>'08'!L39</f>
        <v>Frei:</v>
      </c>
      <c r="M39" s="262">
        <f aca="true" t="shared" si="5" ref="M39:N42">H47</f>
        <v>0</v>
      </c>
      <c r="N39" s="262">
        <f t="shared" si="5"/>
        <v>0</v>
      </c>
      <c r="O39" s="262" t="e">
        <f>NJ_Conge</f>
        <v>#N/A</v>
      </c>
      <c r="Q39" s="263" t="e">
        <f t="shared" si="4"/>
        <v>#N/A</v>
      </c>
    </row>
    <row r="40" spans="2:17" ht="15.75" thickBot="1">
      <c r="B40" s="335" t="str">
        <f>'08'!B40</f>
        <v>Total</v>
      </c>
      <c r="C40" s="336">
        <f>COUNTIF(C9:C39,"a")+COUNTIF(C9:C39,"b")+COUNTIF(C9:C39,"c")+COUNTIF(C9:C39,"d")+COUNTIF(C9:C39,"e")+COUNTIF(C9:C39,"f")+COUNTIF(C9:C39,"g")+COUNTIF(C9:C39,"h")+COUNTIF(C9:C39,"i")</f>
        <v>0</v>
      </c>
      <c r="D40" s="17">
        <f aca="true" t="shared" si="6" ref="D40:I40">SUM(D9:D39)</f>
        <v>0</v>
      </c>
      <c r="E40" s="18">
        <f t="shared" si="6"/>
        <v>0</v>
      </c>
      <c r="F40" s="18">
        <f t="shared" si="6"/>
        <v>0</v>
      </c>
      <c r="G40" s="19">
        <f t="shared" si="6"/>
        <v>0</v>
      </c>
      <c r="H40" s="20">
        <f t="shared" si="6"/>
        <v>0</v>
      </c>
      <c r="I40" s="21">
        <f t="shared" si="6"/>
        <v>0</v>
      </c>
      <c r="J40" s="337" t="e">
        <f>INT(((Sa_NatureMensuel/H42*C40)*20)+0.5)/20</f>
        <v>#N/A</v>
      </c>
      <c r="L40" s="288" t="str">
        <f>'08'!L40</f>
        <v>Ferien:</v>
      </c>
      <c r="M40" s="289">
        <f t="shared" si="5"/>
        <v>0</v>
      </c>
      <c r="N40" s="289">
        <f t="shared" si="5"/>
        <v>0</v>
      </c>
      <c r="O40" s="289" t="e">
        <f>NJ_Vacances</f>
        <v>#N/A</v>
      </c>
      <c r="Q40" s="290" t="e">
        <f t="shared" si="4"/>
        <v>#N/A</v>
      </c>
    </row>
    <row r="41" spans="2:17" ht="15.75" thickBot="1">
      <c r="B41" s="452"/>
      <c r="C41" s="453"/>
      <c r="D41" s="453"/>
      <c r="E41" s="453"/>
      <c r="F41" s="453"/>
      <c r="G41" s="506"/>
      <c r="H41" s="286">
        <f>B3</f>
        <v>43770</v>
      </c>
      <c r="I41" s="22" t="str">
        <f>'08'!I41</f>
        <v>Total</v>
      </c>
      <c r="J41" s="23"/>
      <c r="L41" s="288" t="str">
        <f>'08'!L41</f>
        <v>Unfall:</v>
      </c>
      <c r="M41" s="289">
        <f t="shared" si="5"/>
        <v>0</v>
      </c>
      <c r="N41" s="289">
        <f t="shared" si="5"/>
        <v>0</v>
      </c>
      <c r="O41" s="289">
        <v>0</v>
      </c>
      <c r="Q41" s="290">
        <f t="shared" si="4"/>
        <v>0</v>
      </c>
    </row>
    <row r="42" spans="2:17" ht="15">
      <c r="B42" s="408" t="str">
        <f>'08'!B42</f>
        <v>Tagesabrechnung</v>
      </c>
      <c r="C42" s="409" t="e">
        <f>'08'!C42</f>
        <v>#N/A</v>
      </c>
      <c r="D42" s="409" t="e">
        <f>'08'!D42</f>
        <v>#REF!</v>
      </c>
      <c r="E42" s="409" t="e">
        <f>'08'!E42</f>
        <v>#REF!</v>
      </c>
      <c r="F42" s="409" t="e">
        <f>'08'!F42</f>
        <v>#REF!</v>
      </c>
      <c r="G42" s="410" t="e">
        <f>'08'!G42</f>
        <v>#REF!</v>
      </c>
      <c r="H42" s="24">
        <v>30</v>
      </c>
      <c r="I42" s="25">
        <f>SUM('10'!H42:I42)</f>
        <v>92</v>
      </c>
      <c r="J42" s="26"/>
      <c r="L42" s="287" t="str">
        <f>'08'!L42</f>
        <v>Krankheit:</v>
      </c>
      <c r="M42" s="178">
        <f t="shared" si="5"/>
        <v>0</v>
      </c>
      <c r="N42" s="178">
        <f t="shared" si="5"/>
        <v>0</v>
      </c>
      <c r="O42" s="178">
        <v>0</v>
      </c>
      <c r="Q42" s="179">
        <f t="shared" si="4"/>
        <v>0</v>
      </c>
    </row>
    <row r="43" spans="2:10" ht="15">
      <c r="B43" s="402" t="str">
        <f>'08'!B43</f>
        <v>Arbeitstage ( a )</v>
      </c>
      <c r="C43" s="403" t="e">
        <f>'08'!C43</f>
        <v>#N/A</v>
      </c>
      <c r="D43" s="403" t="e">
        <f>'08'!D43</f>
        <v>#REF!</v>
      </c>
      <c r="E43" s="403" t="e">
        <f>'08'!E43</f>
        <v>#REF!</v>
      </c>
      <c r="F43" s="403" t="e">
        <f>'08'!F43</f>
        <v>#REF!</v>
      </c>
      <c r="G43" s="404" t="e">
        <f>'08'!G43</f>
        <v>#REF!</v>
      </c>
      <c r="H43" s="27">
        <f>COUNTIF(C9:C39,"a")+COUNTIF(C9:C39,"f")/2</f>
        <v>0</v>
      </c>
      <c r="I43" s="28">
        <f>SUM('10'!H43:I43)</f>
        <v>0</v>
      </c>
      <c r="J43" s="29"/>
    </row>
    <row r="44" spans="2:17" ht="15">
      <c r="B44" s="402" t="str">
        <f>'08'!B44</f>
        <v>Schultage ( b )</v>
      </c>
      <c r="C44" s="403" t="e">
        <f>'08'!C44</f>
        <v>#N/A</v>
      </c>
      <c r="D44" s="403" t="e">
        <f>'08'!D44</f>
        <v>#REF!</v>
      </c>
      <c r="E44" s="403" t="e">
        <f>'08'!E44</f>
        <v>#REF!</v>
      </c>
      <c r="F44" s="403" t="e">
        <f>'08'!F44</f>
        <v>#REF!</v>
      </c>
      <c r="G44" s="404" t="e">
        <f>'08'!G44</f>
        <v>#REF!</v>
      </c>
      <c r="H44" s="27">
        <f>COUNTIF(C9:C39,"b")</f>
        <v>0</v>
      </c>
      <c r="I44" s="28">
        <f>SUM('10'!H44:I44)</f>
        <v>0</v>
      </c>
      <c r="J44" s="29"/>
      <c r="L44" s="38" t="str">
        <f>'08'!L44</f>
        <v>Bemerkungen:</v>
      </c>
      <c r="M44" s="513"/>
      <c r="N44" s="514"/>
      <c r="O44" s="514"/>
      <c r="P44" s="514"/>
      <c r="Q44" s="515"/>
    </row>
    <row r="45" spans="2:17" ht="15">
      <c r="B45" s="402" t="str">
        <f>'08'!B45</f>
        <v>überbetriebliche Kurse ( c )</v>
      </c>
      <c r="C45" s="403" t="e">
        <f>'08'!C45</f>
        <v>#N/A</v>
      </c>
      <c r="D45" s="403" t="e">
        <f>'08'!D45</f>
        <v>#REF!</v>
      </c>
      <c r="E45" s="403" t="e">
        <f>'08'!E45</f>
        <v>#REF!</v>
      </c>
      <c r="F45" s="403" t="e">
        <f>'08'!F45</f>
        <v>#REF!</v>
      </c>
      <c r="G45" s="404" t="e">
        <f>'08'!G45</f>
        <v>#REF!</v>
      </c>
      <c r="H45" s="27">
        <f>COUNTIF(C9:C39,"c")</f>
        <v>0</v>
      </c>
      <c r="I45" s="28">
        <f>SUM('10'!H45:I45)</f>
        <v>0</v>
      </c>
      <c r="J45" s="29"/>
      <c r="L45" s="34"/>
      <c r="M45" s="516"/>
      <c r="N45" s="517"/>
      <c r="O45" s="517"/>
      <c r="P45" s="517"/>
      <c r="Q45" s="518"/>
    </row>
    <row r="46" spans="2:17" ht="15">
      <c r="B46" s="402" t="str">
        <f>'08'!B46</f>
        <v>Militär ( i )</v>
      </c>
      <c r="C46" s="403" t="e">
        <f>'08'!C46</f>
        <v>#N/A</v>
      </c>
      <c r="D46" s="403" t="e">
        <f>'08'!D46</f>
        <v>#REF!</v>
      </c>
      <c r="E46" s="403" t="e">
        <f>'08'!E46</f>
        <v>#REF!</v>
      </c>
      <c r="F46" s="403" t="e">
        <f>'08'!F46</f>
        <v>#REF!</v>
      </c>
      <c r="G46" s="404" t="e">
        <f>'08'!G46</f>
        <v>#REF!</v>
      </c>
      <c r="H46" s="27">
        <f>COUNTIF(C9:C39,"i")</f>
        <v>0</v>
      </c>
      <c r="I46" s="28">
        <f>SUM('10'!H46:I46)</f>
        <v>0</v>
      </c>
      <c r="J46" s="29"/>
      <c r="L46" s="34"/>
      <c r="M46" s="519"/>
      <c r="N46" s="520"/>
      <c r="O46" s="520"/>
      <c r="P46" s="520"/>
      <c r="Q46" s="521"/>
    </row>
    <row r="47" spans="2:17" ht="15">
      <c r="B47" s="402" t="str">
        <f>'08'!B47</f>
        <v>Frei ( d )</v>
      </c>
      <c r="C47" s="403" t="e">
        <f>'08'!C47</f>
        <v>#N/A</v>
      </c>
      <c r="D47" s="403" t="e">
        <f>'08'!D47</f>
        <v>#REF!</v>
      </c>
      <c r="E47" s="403" t="e">
        <f>'08'!E47</f>
        <v>#REF!</v>
      </c>
      <c r="F47" s="403" t="e">
        <f>'08'!F47</f>
        <v>#REF!</v>
      </c>
      <c r="G47" s="404" t="e">
        <f>'08'!G47</f>
        <v>#REF!</v>
      </c>
      <c r="H47" s="27">
        <f>COUNTIF(C9:C39,"d")+COUNTIF(C9:C39,"f")/2</f>
        <v>0</v>
      </c>
      <c r="I47" s="28">
        <f>SUM('10'!H47:I47)</f>
        <v>0</v>
      </c>
      <c r="J47" s="29"/>
      <c r="L47" s="34"/>
      <c r="M47" s="34"/>
      <c r="N47" s="34"/>
      <c r="O47" s="38"/>
      <c r="P47" s="34"/>
      <c r="Q47" s="40"/>
    </row>
    <row r="48" spans="1:17" ht="15">
      <c r="A48" s="7">
        <v>289</v>
      </c>
      <c r="B48" s="402" t="str">
        <f>'08'!B48</f>
        <v>Ferien ( e )</v>
      </c>
      <c r="C48" s="403" t="e">
        <f>'08'!C48</f>
        <v>#N/A</v>
      </c>
      <c r="D48" s="403" t="e">
        <f>'08'!D48</f>
        <v>#REF!</v>
      </c>
      <c r="E48" s="403" t="e">
        <f>'08'!E48</f>
        <v>#REF!</v>
      </c>
      <c r="F48" s="403" t="e">
        <f>'08'!F48</f>
        <v>#REF!</v>
      </c>
      <c r="G48" s="404" t="e">
        <f>'08'!G48</f>
        <v>#REF!</v>
      </c>
      <c r="H48" s="27">
        <f>COUNTIF(C9:C39,"e")</f>
        <v>0</v>
      </c>
      <c r="I48" s="28">
        <f>SUM('10'!H48:I48)</f>
        <v>0</v>
      </c>
      <c r="J48" s="29"/>
      <c r="L48" s="38" t="str">
        <f>'08'!L48</f>
        <v>Datum</v>
      </c>
      <c r="M48" s="177"/>
      <c r="N48" s="34"/>
      <c r="O48" s="38" t="str">
        <f>'08'!O48</f>
        <v>Berufsbildner /in</v>
      </c>
      <c r="P48" s="54"/>
      <c r="Q48" s="55"/>
    </row>
    <row r="49" spans="1:17" ht="15">
      <c r="A49" s="7">
        <v>290</v>
      </c>
      <c r="B49" s="402" t="str">
        <f>'08'!B49</f>
        <v>Unfall ( g )</v>
      </c>
      <c r="C49" s="403" t="e">
        <f>'08'!C49</f>
        <v>#N/A</v>
      </c>
      <c r="D49" s="403" t="e">
        <f>'08'!D49</f>
        <v>#REF!</v>
      </c>
      <c r="E49" s="403" t="e">
        <f>'08'!E49</f>
        <v>#REF!</v>
      </c>
      <c r="F49" s="403" t="e">
        <f>'08'!F49</f>
        <v>#REF!</v>
      </c>
      <c r="G49" s="404" t="e">
        <f>'08'!G49</f>
        <v>#REF!</v>
      </c>
      <c r="H49" s="27">
        <f>COUNTIF(C9:C39,"g")</f>
        <v>0</v>
      </c>
      <c r="I49" s="28">
        <f>SUM('10'!H49:I49)</f>
        <v>0</v>
      </c>
      <c r="J49" s="29"/>
      <c r="L49" s="34"/>
      <c r="M49" s="34"/>
      <c r="N49" s="34"/>
      <c r="O49" s="38"/>
      <c r="P49" s="34"/>
      <c r="Q49" s="40"/>
    </row>
    <row r="50" spans="1:17" s="7" customFormat="1" ht="15.75" thickBot="1">
      <c r="A50" s="285">
        <v>291</v>
      </c>
      <c r="B50" s="383" t="str">
        <f>'08'!B50</f>
        <v>Krankheit ( h )</v>
      </c>
      <c r="C50" s="384" t="e">
        <f>'08'!C50</f>
        <v>#N/A</v>
      </c>
      <c r="D50" s="384" t="e">
        <f>'08'!D50</f>
        <v>#REF!</v>
      </c>
      <c r="E50" s="384" t="e">
        <f>'08'!E50</f>
        <v>#REF!</v>
      </c>
      <c r="F50" s="384" t="e">
        <f>'08'!F50</f>
        <v>#REF!</v>
      </c>
      <c r="G50" s="385" t="e">
        <f>'08'!G50</f>
        <v>#REF!</v>
      </c>
      <c r="H50" s="30">
        <f>COUNTIF(C9:C39,"h")</f>
        <v>0</v>
      </c>
      <c r="I50" s="31">
        <f>SUM('10'!H50:I50)</f>
        <v>0</v>
      </c>
      <c r="J50" s="32"/>
      <c r="L50" s="34"/>
      <c r="M50" s="35"/>
      <c r="N50" s="34"/>
      <c r="O50" s="38" t="str">
        <f>'08'!O50</f>
        <v>Lernende /r</v>
      </c>
      <c r="P50" s="54"/>
      <c r="Q50" s="55"/>
    </row>
    <row r="51" spans="12:17" ht="14.25">
      <c r="L51" s="34"/>
      <c r="M51" s="35"/>
      <c r="N51" s="34"/>
      <c r="O51" s="38"/>
      <c r="P51" s="54"/>
      <c r="Q51" s="55"/>
    </row>
  </sheetData>
  <sheetProtection password="83EF" sheet="1" objects="1" scenarios="1"/>
  <mergeCells count="37">
    <mergeCell ref="C2:J2"/>
    <mergeCell ref="B1:J1"/>
    <mergeCell ref="L1:Q1"/>
    <mergeCell ref="M3:N3"/>
    <mergeCell ref="O3:P3"/>
    <mergeCell ref="B3:B8"/>
    <mergeCell ref="C3:C8"/>
    <mergeCell ref="D3:D8"/>
    <mergeCell ref="E3:E8"/>
    <mergeCell ref="G3:G8"/>
    <mergeCell ref="H3:H8"/>
    <mergeCell ref="I3:I8"/>
    <mergeCell ref="F3:F8"/>
    <mergeCell ref="J3:J8"/>
    <mergeCell ref="M5:Q5"/>
    <mergeCell ref="M6:Q6"/>
    <mergeCell ref="M20:N20"/>
    <mergeCell ref="M27:N27"/>
    <mergeCell ref="M28:N28"/>
    <mergeCell ref="M7:Q7"/>
    <mergeCell ref="M8:N8"/>
    <mergeCell ref="M44:Q46"/>
    <mergeCell ref="Q33:Q34"/>
    <mergeCell ref="B46:G46"/>
    <mergeCell ref="B50:G50"/>
    <mergeCell ref="B43:G43"/>
    <mergeCell ref="B47:G47"/>
    <mergeCell ref="B44:G44"/>
    <mergeCell ref="B45:G45"/>
    <mergeCell ref="B48:G48"/>
    <mergeCell ref="B49:G49"/>
    <mergeCell ref="B41:G41"/>
    <mergeCell ref="B42:G42"/>
    <mergeCell ref="N33:N34"/>
    <mergeCell ref="M33:M34"/>
    <mergeCell ref="P33:P34"/>
    <mergeCell ref="O33:O34"/>
  </mergeCells>
  <conditionalFormatting sqref="C39:G39">
    <cfRule type="cellIs" priority="13" dxfId="8" operator="lessThan" stopIfTrue="1">
      <formula>0</formula>
    </cfRule>
    <cfRule type="cellIs" priority="14" dxfId="9" operator="greaterThan" stopIfTrue="1">
      <formula>0</formula>
    </cfRule>
    <cfRule type="expression" priority="15" dxfId="7" stopIfTrue="1">
      <formula>B39&lt;&gt;""</formula>
    </cfRule>
  </conditionalFormatting>
  <conditionalFormatting sqref="E9:E38">
    <cfRule type="cellIs" priority="29" dxfId="9" operator="lessThan" stopIfTrue="1">
      <formula>0</formula>
    </cfRule>
    <cfRule type="cellIs" priority="30" dxfId="8" operator="greaterThan" stopIfTrue="1">
      <formula>0</formula>
    </cfRule>
    <cfRule type="expression" priority="31" dxfId="7" stopIfTrue="1">
      <formula>OR(C9="a",C9="b",C9="c")</formula>
    </cfRule>
  </conditionalFormatting>
  <conditionalFormatting sqref="F9:F38">
    <cfRule type="cellIs" priority="32" dxfId="9" operator="lessThan" stopIfTrue="1">
      <formula>0</formula>
    </cfRule>
    <cfRule type="cellIs" priority="33" dxfId="8" operator="greaterThan" stopIfTrue="1">
      <formula>0</formula>
    </cfRule>
    <cfRule type="expression" priority="34" dxfId="7" stopIfTrue="1">
      <formula>OR(C9="a")</formula>
    </cfRule>
  </conditionalFormatting>
  <conditionalFormatting sqref="G9:G38">
    <cfRule type="cellIs" priority="35" dxfId="9" operator="lessThan" stopIfTrue="1">
      <formula>0</formula>
    </cfRule>
    <cfRule type="cellIs" priority="36" dxfId="8" operator="greaterThan" stopIfTrue="1">
      <formula>0</formula>
    </cfRule>
    <cfRule type="expression" priority="37" dxfId="7" stopIfTrue="1">
      <formula>OR(C9="a",C9="b",C9="c")</formula>
    </cfRule>
  </conditionalFormatting>
  <conditionalFormatting sqref="B9:B39">
    <cfRule type="expression" priority="22" dxfId="0" stopIfTrue="1">
      <formula>WEEKDAY(B9)=1</formula>
    </cfRule>
  </conditionalFormatting>
  <conditionalFormatting sqref="C9:C38">
    <cfRule type="expression" priority="39" dxfId="2" stopIfTrue="1">
      <formula>AND(C9&lt;&gt;"",C9&lt;&gt;"a",C9&lt;&gt;"b",C9&lt;&gt;"c",C9&lt;&gt;"d",C9&lt;&gt;"e",C9&lt;&gt;"f",C9&lt;&gt;"g",C9&lt;&gt;"h",C9&lt;&gt;"i")</formula>
    </cfRule>
  </conditionalFormatting>
  <conditionalFormatting sqref="D9:D38">
    <cfRule type="cellIs" priority="40" dxfId="9" operator="lessThan" stopIfTrue="1">
      <formula>0</formula>
    </cfRule>
    <cfRule type="cellIs" priority="41" dxfId="8" operator="greaterThan" stopIfTrue="1">
      <formula>0</formula>
    </cfRule>
    <cfRule type="expression" priority="42" dxfId="7" stopIfTrue="1">
      <formula>AND(C9&lt;&gt;"",OR(PN_LogisOuiNon=1,AND(PN_LogisOuiNon=2,C9&lt;&gt;"i")))</formula>
    </cfRule>
  </conditionalFormatting>
  <conditionalFormatting sqref="D9:D38">
    <cfRule type="cellIs" priority="10" dxfId="9" operator="lessThan" stopIfTrue="1">
      <formula>0</formula>
    </cfRule>
    <cfRule type="cellIs" priority="11" dxfId="8" operator="greaterThan" stopIfTrue="1">
      <formula>0</formula>
    </cfRule>
    <cfRule type="expression" priority="12" dxfId="7" stopIfTrue="1">
      <formula>AND(C9&lt;&gt;"",C9&lt;&gt;"i")</formula>
    </cfRule>
  </conditionalFormatting>
  <conditionalFormatting sqref="D9:D38">
    <cfRule type="cellIs" priority="7" dxfId="9" operator="lessThan" stopIfTrue="1">
      <formula>0</formula>
    </cfRule>
    <cfRule type="cellIs" priority="8" dxfId="8" operator="greaterThan" stopIfTrue="1">
      <formula>0</formula>
    </cfRule>
    <cfRule type="expression" priority="9" dxfId="7" stopIfTrue="1">
      <formula>AND(C9&lt;&gt;"",OR(PN_LogisOuiNon=1,AND(PN_LogisOuiNon=2,C9&lt;&gt;"i")))</formula>
    </cfRule>
  </conditionalFormatting>
  <conditionalFormatting sqref="D9:D38">
    <cfRule type="cellIs" priority="4" dxfId="9" operator="lessThan" stopIfTrue="1">
      <formula>0</formula>
    </cfRule>
    <cfRule type="cellIs" priority="5" dxfId="8" operator="greaterThan" stopIfTrue="1">
      <formula>0</formula>
    </cfRule>
    <cfRule type="expression" priority="6" dxfId="7" stopIfTrue="1">
      <formula>AND(C9&lt;&gt;"",OR(PN_LogisOuiNon=1,AND(PN_LogisOuiNon=2,C9&lt;&gt;"j")))</formula>
    </cfRule>
  </conditionalFormatting>
  <conditionalFormatting sqref="H9:H38">
    <cfRule type="expression" priority="1" dxfId="6" stopIfTrue="1">
      <formula>C9="a"</formula>
    </cfRule>
    <cfRule type="expression" priority="2" dxfId="5" stopIfTrue="1">
      <formula>OR(C9="b",C9="c")</formula>
    </cfRule>
    <cfRule type="expression" priority="3" dxfId="0" stopIfTrue="1">
      <formula>OR(C9="d",C9="e")</formula>
    </cfRule>
  </conditionalFormatting>
  <hyperlinks>
    <hyperlink ref="C3:C8" location="Help_Code" display="Help_Code"/>
  </hyperlinks>
  <printOptions horizontalCentered="1" verticalCentered="1"/>
  <pageMargins left="0.3937007874015748" right="0.3937007874015748" top="0.5905511811023623" bottom="0.3937007874015748" header="0.5118110236220472" footer="0.31496062992125984"/>
  <pageSetup horizontalDpi="600" verticalDpi="600" orientation="portrait" paperSize="9" r:id="rId1"/>
  <headerFooter alignWithMargins="0">
    <oddFooter>&amp;L&amp;A&amp;RPage &amp;P</oddFooter>
  </headerFooter>
</worksheet>
</file>

<file path=xl/worksheets/sheet7.xml><?xml version="1.0" encoding="utf-8"?>
<worksheet xmlns="http://schemas.openxmlformats.org/spreadsheetml/2006/main" xmlns:r="http://schemas.openxmlformats.org/officeDocument/2006/relationships">
  <sheetPr codeName="Sheet8"/>
  <dimension ref="A1:Q51"/>
  <sheetViews>
    <sheetView zoomScalePageLayoutView="0" workbookViewId="0" topLeftCell="B1">
      <pane xSplit="1" ySplit="8" topLeftCell="C9" activePane="bottomRight" state="frozen"/>
      <selection pane="topLeft" activeCell="C9" sqref="C9"/>
      <selection pane="topRight" activeCell="C9" sqref="C9"/>
      <selection pane="bottomLeft" activeCell="C9" sqref="C9"/>
      <selection pane="bottomRight" activeCell="C9" sqref="C9"/>
    </sheetView>
  </sheetViews>
  <sheetFormatPr defaultColWidth="9.140625" defaultRowHeight="12.75"/>
  <cols>
    <col min="1" max="1" width="4.7109375" style="7" hidden="1" customWidth="1"/>
    <col min="2" max="2" width="14.7109375" style="7" customWidth="1"/>
    <col min="3" max="7" width="3.7109375" style="7" customWidth="1"/>
    <col min="8" max="9" width="8.7109375" style="8" customWidth="1"/>
    <col min="10" max="10" width="38.7109375" style="7" customWidth="1"/>
    <col min="11" max="11" width="2.7109375" style="7" hidden="1" customWidth="1"/>
    <col min="12" max="12" width="27.421875" style="9" customWidth="1"/>
    <col min="13" max="13" width="12.140625" style="9" customWidth="1"/>
    <col min="14" max="14" width="12.7109375" style="9" customWidth="1"/>
    <col min="15" max="15" width="12.7109375" style="33" customWidth="1"/>
    <col min="16" max="16" width="11.00390625" style="9" customWidth="1"/>
    <col min="17" max="17" width="12.7109375" style="9" customWidth="1"/>
    <col min="18" max="16384" width="9.140625" style="2" customWidth="1"/>
  </cols>
  <sheetData>
    <row r="1" spans="1:17" ht="17.25" thickBot="1">
      <c r="A1" s="10"/>
      <c r="B1" s="430" t="str">
        <f>'08'!B1</f>
        <v>Agenda</v>
      </c>
      <c r="C1" s="431"/>
      <c r="D1" s="431"/>
      <c r="E1" s="431"/>
      <c r="F1" s="431"/>
      <c r="G1" s="431"/>
      <c r="H1" s="431"/>
      <c r="I1" s="431"/>
      <c r="J1" s="432"/>
      <c r="K1" s="10"/>
      <c r="L1" s="433" t="str">
        <f>'08'!L1</f>
        <v>Monatliche Lohnabrechnung</v>
      </c>
      <c r="M1" s="434"/>
      <c r="N1" s="434"/>
      <c r="O1" s="434"/>
      <c r="P1" s="434"/>
      <c r="Q1" s="435"/>
    </row>
    <row r="2" spans="1:17" ht="17.25" thickBot="1">
      <c r="A2" s="10"/>
      <c r="B2" s="175" t="str">
        <f>'08'!B2</f>
        <v>Lerndende / r</v>
      </c>
      <c r="C2" s="495" t="str">
        <f>"- "&amp;TRIM(DB_Apprenti)&amp;" -"</f>
        <v>-  -</v>
      </c>
      <c r="D2" s="495"/>
      <c r="E2" s="495"/>
      <c r="F2" s="495"/>
      <c r="G2" s="495"/>
      <c r="H2" s="495"/>
      <c r="I2" s="495"/>
      <c r="J2" s="496"/>
      <c r="K2" s="10"/>
      <c r="L2" s="152"/>
      <c r="M2" s="152"/>
      <c r="N2" s="152"/>
      <c r="O2" s="152"/>
      <c r="P2" s="152"/>
      <c r="Q2" s="152"/>
    </row>
    <row r="3" spans="2:17" ht="15" customHeight="1">
      <c r="B3" s="438">
        <f>DATE(DB_Annee,12,1)</f>
        <v>43800</v>
      </c>
      <c r="C3" s="507" t="str">
        <f>'08'!C3</f>
        <v>[ a-b-c-d-e-f-g-h-i ]</v>
      </c>
      <c r="D3" s="444" t="str">
        <f>'08'!D3</f>
        <v>Übernachtung</v>
      </c>
      <c r="E3" s="447" t="str">
        <f>'08'!E3</f>
        <v>Morgenessen</v>
      </c>
      <c r="F3" s="447" t="str">
        <f>'08'!F3</f>
        <v>Mittagessen</v>
      </c>
      <c r="G3" s="413" t="str">
        <f>'08'!G3</f>
        <v>Abendessen</v>
      </c>
      <c r="H3" s="418" t="str">
        <f>'08'!H3</f>
        <v>Betrag Naturallohn</v>
      </c>
      <c r="I3" s="522" t="str">
        <f>'08'!I3</f>
        <v>Angepasster Betrag</v>
      </c>
      <c r="J3" s="503" t="str">
        <f>'08'!J3</f>
        <v>Kommentar
a = Arbeitstag
b = Schultag
c = überbetrieblicher Kurs (üK)
d = Freitag
e = Ferientag
f = 1/2 Arbeitstag, 1/2 Freitag
g = Unfall (ganz Tag)
h = Krankheit (ganz Tag)
i = Miltär</v>
      </c>
      <c r="L3" s="36" t="str">
        <f>'08'!L3</f>
        <v>Monat:</v>
      </c>
      <c r="M3" s="436">
        <f>B3</f>
        <v>43800</v>
      </c>
      <c r="N3" s="436"/>
      <c r="O3" s="437" t="str">
        <f>'08'!O3</f>
        <v>Jahr:</v>
      </c>
      <c r="P3" s="437">
        <f>'08'!P3</f>
        <v>0</v>
      </c>
      <c r="Q3" s="176">
        <f>B3</f>
        <v>43800</v>
      </c>
    </row>
    <row r="4" spans="1:17" ht="15">
      <c r="A4" s="10"/>
      <c r="B4" s="439"/>
      <c r="C4" s="508">
        <f>'08'!C4</f>
        <v>0</v>
      </c>
      <c r="D4" s="445">
        <f>'08'!D4</f>
        <v>0</v>
      </c>
      <c r="E4" s="448">
        <f>'08'!E4</f>
        <v>0</v>
      </c>
      <c r="F4" s="448">
        <f>'08'!F4</f>
        <v>0</v>
      </c>
      <c r="G4" s="414">
        <f>'08'!G4</f>
        <v>0</v>
      </c>
      <c r="H4" s="419">
        <f>'08'!H4</f>
        <v>0</v>
      </c>
      <c r="I4" s="523">
        <f>'08'!I4</f>
        <v>0</v>
      </c>
      <c r="J4" s="524">
        <f>'08'!J4</f>
        <v>0</v>
      </c>
      <c r="K4" s="10"/>
      <c r="L4" s="34"/>
      <c r="M4" s="34"/>
      <c r="N4" s="37"/>
      <c r="O4" s="36"/>
      <c r="P4" s="11"/>
      <c r="Q4" s="11"/>
    </row>
    <row r="5" spans="1:17" ht="15">
      <c r="A5" s="10"/>
      <c r="B5" s="439"/>
      <c r="C5" s="508">
        <f>'08'!C5</f>
        <v>0</v>
      </c>
      <c r="D5" s="445">
        <f>'08'!D5</f>
        <v>0</v>
      </c>
      <c r="E5" s="448">
        <f>'08'!E5</f>
        <v>0</v>
      </c>
      <c r="F5" s="448">
        <f>'08'!F5</f>
        <v>0</v>
      </c>
      <c r="G5" s="414">
        <f>'08'!G5</f>
        <v>0</v>
      </c>
      <c r="H5" s="419">
        <f>'08'!H5</f>
        <v>0</v>
      </c>
      <c r="I5" s="523">
        <f>'08'!I5</f>
        <v>0</v>
      </c>
      <c r="J5" s="524">
        <f>'08'!J5</f>
        <v>0</v>
      </c>
      <c r="K5" s="10"/>
      <c r="L5" s="36" t="str">
        <f>'08'!L5</f>
        <v>Berufsbildner</v>
      </c>
      <c r="M5" s="416">
        <f>TRIM(DB_Maitre)</f>
      </c>
      <c r="N5" s="416"/>
      <c r="O5" s="416"/>
      <c r="P5" s="416"/>
      <c r="Q5" s="416"/>
    </row>
    <row r="6" spans="1:17" ht="15">
      <c r="A6" s="10"/>
      <c r="B6" s="439"/>
      <c r="C6" s="508">
        <f>'08'!C6</f>
        <v>0</v>
      </c>
      <c r="D6" s="445">
        <f>'08'!D6</f>
        <v>0</v>
      </c>
      <c r="E6" s="448">
        <f>'08'!E6</f>
        <v>0</v>
      </c>
      <c r="F6" s="448">
        <f>'08'!F6</f>
        <v>0</v>
      </c>
      <c r="G6" s="414">
        <f>'08'!G6</f>
        <v>0</v>
      </c>
      <c r="H6" s="419">
        <f>'08'!H6</f>
        <v>0</v>
      </c>
      <c r="I6" s="523">
        <f>'08'!I6</f>
        <v>0</v>
      </c>
      <c r="J6" s="524">
        <f>'08'!J6</f>
        <v>0</v>
      </c>
      <c r="K6" s="10"/>
      <c r="L6" s="36" t="str">
        <f>'08'!L6</f>
        <v>Ort</v>
      </c>
      <c r="M6" s="417">
        <f>TRIM(DB_MaitreLieu)</f>
      </c>
      <c r="N6" s="417"/>
      <c r="O6" s="417"/>
      <c r="P6" s="417"/>
      <c r="Q6" s="417"/>
    </row>
    <row r="7" spans="1:17" ht="15">
      <c r="A7" s="10"/>
      <c r="B7" s="439"/>
      <c r="C7" s="508">
        <f>'08'!C7</f>
        <v>0</v>
      </c>
      <c r="D7" s="445">
        <f>'08'!D7</f>
        <v>0</v>
      </c>
      <c r="E7" s="448">
        <f>'08'!E7</f>
        <v>0</v>
      </c>
      <c r="F7" s="448">
        <f>'08'!F7</f>
        <v>0</v>
      </c>
      <c r="G7" s="414">
        <f>'08'!G7</f>
        <v>0</v>
      </c>
      <c r="H7" s="419">
        <f>'08'!H7</f>
        <v>0</v>
      </c>
      <c r="I7" s="523">
        <f>'08'!I7</f>
        <v>0</v>
      </c>
      <c r="J7" s="524">
        <f>'08'!J7</f>
        <v>0</v>
      </c>
      <c r="K7" s="10"/>
      <c r="L7" s="36" t="str">
        <f>'08'!L7</f>
        <v>Lernende / r</v>
      </c>
      <c r="M7" s="417">
        <f>TRIM(DB_Apprenti)</f>
      </c>
      <c r="N7" s="417"/>
      <c r="O7" s="417"/>
      <c r="P7" s="417"/>
      <c r="Q7" s="417"/>
    </row>
    <row r="8" spans="2:17" ht="15.75" thickBot="1">
      <c r="B8" s="440"/>
      <c r="C8" s="509">
        <f>'08'!C8</f>
        <v>0</v>
      </c>
      <c r="D8" s="446">
        <f>'08'!D8</f>
        <v>0</v>
      </c>
      <c r="E8" s="449">
        <f>'08'!E8</f>
        <v>0</v>
      </c>
      <c r="F8" s="449">
        <f>'08'!F8</f>
        <v>0</v>
      </c>
      <c r="G8" s="415">
        <f>'08'!G8</f>
        <v>0</v>
      </c>
      <c r="H8" s="420">
        <f>'08'!H8</f>
        <v>0</v>
      </c>
      <c r="I8" s="423">
        <f>'08'!I8</f>
        <v>0</v>
      </c>
      <c r="J8" s="525">
        <f>'08'!J8</f>
        <v>0</v>
      </c>
      <c r="L8" s="36" t="str">
        <f>'08'!L8</f>
        <v>AHV-Nummer</v>
      </c>
      <c r="M8" s="417">
        <f>TRIM(DB_AVS)</f>
      </c>
      <c r="N8" s="417"/>
      <c r="P8" s="3" t="str">
        <f>'08'!P8</f>
        <v>Geburtsdatum</v>
      </c>
      <c r="Q8" s="42">
        <f>IF(DB_DateNaissance=0,"",DB_DateNaissance)</f>
      </c>
    </row>
    <row r="9" spans="2:11" ht="15">
      <c r="B9" s="87">
        <f>B3</f>
        <v>43800</v>
      </c>
      <c r="C9" s="154"/>
      <c r="D9" s="359"/>
      <c r="E9" s="268"/>
      <c r="F9" s="268"/>
      <c r="G9" s="269"/>
      <c r="H9" s="12">
        <f aca="true" t="shared" si="0" ref="H9:H39">MAX(IF(C9="a",PN_Travail,IF(C9="b",PN_CoursProf,IF(C9="c",PN_CoursIE,IF(C9="d",PN_Conge,0)))),IF(C9="e",PN_Vacances,IF(C9="f",PN_DemiJour,IF(C9="g",PN_Accident,IF(C9="h",PN_Maladie,IF(C9="i",PN_Armee,0))))))</f>
        <v>0</v>
      </c>
      <c r="I9" s="13">
        <f>H9+D9*PN_Logis+E9*PN_Dejeuner+F9*PN_Diner+G9*PN_Souper</f>
        <v>0</v>
      </c>
      <c r="J9" s="161"/>
      <c r="K9" s="14"/>
    </row>
    <row r="10" spans="2:10" ht="15">
      <c r="B10" s="15">
        <f>B9+1</f>
        <v>43801</v>
      </c>
      <c r="C10" s="154"/>
      <c r="D10" s="359"/>
      <c r="E10" s="268"/>
      <c r="F10" s="268"/>
      <c r="G10" s="269"/>
      <c r="H10" s="12">
        <f t="shared" si="0"/>
        <v>0</v>
      </c>
      <c r="I10" s="13">
        <f aca="true" t="shared" si="1" ref="I10:I39">H10+D10*PN_Logis+E10*PN_Dejeuner+F10*PN_Diner+G10*PN_Souper</f>
        <v>0</v>
      </c>
      <c r="J10" s="190"/>
    </row>
    <row r="11" spans="1:17" ht="15">
      <c r="A11" s="163">
        <v>230</v>
      </c>
      <c r="B11" s="15">
        <f aca="true" t="shared" si="2" ref="B11:B39">B10+1</f>
        <v>43802</v>
      </c>
      <c r="C11" s="154"/>
      <c r="D11" s="359"/>
      <c r="E11" s="268"/>
      <c r="F11" s="268"/>
      <c r="G11" s="269"/>
      <c r="H11" s="12">
        <f t="shared" si="0"/>
        <v>0</v>
      </c>
      <c r="I11" s="13">
        <f t="shared" si="1"/>
        <v>0</v>
      </c>
      <c r="J11" s="190"/>
      <c r="L11" s="39" t="str">
        <f>'08'!L11</f>
        <v>Bruttolohn  </v>
      </c>
      <c r="M11" s="34" t="e">
        <f>IF(PN_EffMoy=0,SUBSTITUTE(VLOOKUP(A11+1,Tb_Traduction,DB_Langue,FALSE),"***",TEXT(J40,"0.00")),"")</f>
        <v>#N/A</v>
      </c>
      <c r="N11" s="34"/>
      <c r="O11" s="38"/>
      <c r="P11" s="45"/>
      <c r="Q11" s="49" t="e">
        <f>IF(OR(PN_EffMoy=0,Nb_Mois&lt;&gt;12),Sa_BaseMensuelArrondi/H42*C40,Sa_BaseMensuelArrondi)</f>
        <v>#N/A</v>
      </c>
    </row>
    <row r="12" spans="2:17" ht="15">
      <c r="B12" s="15">
        <f t="shared" si="2"/>
        <v>43803</v>
      </c>
      <c r="C12" s="154"/>
      <c r="D12" s="359"/>
      <c r="E12" s="268"/>
      <c r="F12" s="268"/>
      <c r="G12" s="269"/>
      <c r="H12" s="12">
        <f t="shared" si="0"/>
        <v>0</v>
      </c>
      <c r="I12" s="13">
        <f t="shared" si="1"/>
        <v>0</v>
      </c>
      <c r="J12" s="190"/>
      <c r="L12" s="9" t="str">
        <f>'08'!L12</f>
        <v>Prämie, Bonus, Gratifikation</v>
      </c>
      <c r="Q12" s="155"/>
    </row>
    <row r="13" spans="2:17" ht="15">
      <c r="B13" s="15">
        <f t="shared" si="2"/>
        <v>43804</v>
      </c>
      <c r="C13" s="154"/>
      <c r="D13" s="359"/>
      <c r="E13" s="268"/>
      <c r="F13" s="268"/>
      <c r="G13" s="269"/>
      <c r="H13" s="12">
        <f t="shared" si="0"/>
        <v>0</v>
      </c>
      <c r="I13" s="13">
        <f t="shared" si="1"/>
        <v>0</v>
      </c>
      <c r="J13" s="190"/>
      <c r="L13" s="88" t="str">
        <f>'08'!L13</f>
        <v>Bruttolohn total</v>
      </c>
      <c r="Q13" s="89" t="e">
        <f>SUM(Q11:Q12)</f>
        <v>#N/A</v>
      </c>
    </row>
    <row r="14" spans="2:10" ht="15">
      <c r="B14" s="15">
        <f t="shared" si="2"/>
        <v>43805</v>
      </c>
      <c r="C14" s="154"/>
      <c r="D14" s="359"/>
      <c r="E14" s="268"/>
      <c r="F14" s="268"/>
      <c r="G14" s="269"/>
      <c r="H14" s="12">
        <f t="shared" si="0"/>
        <v>0</v>
      </c>
      <c r="I14" s="13">
        <f t="shared" si="1"/>
        <v>0</v>
      </c>
      <c r="J14" s="190"/>
    </row>
    <row r="15" spans="2:17" ht="15">
      <c r="B15" s="15">
        <f t="shared" si="2"/>
        <v>43806</v>
      </c>
      <c r="C15" s="154"/>
      <c r="D15" s="359"/>
      <c r="E15" s="268"/>
      <c r="F15" s="268"/>
      <c r="G15" s="269"/>
      <c r="H15" s="12">
        <f t="shared" si="0"/>
        <v>0</v>
      </c>
      <c r="I15" s="13">
        <f t="shared" si="1"/>
        <v>0</v>
      </c>
      <c r="J15" s="190"/>
      <c r="L15" s="39" t="str">
        <f>'08'!L15</f>
        <v>Abzüge</v>
      </c>
      <c r="M15" s="11" t="str">
        <f>'08'!M15</f>
        <v>Anteil</v>
      </c>
      <c r="N15" s="11" t="s">
        <v>37</v>
      </c>
      <c r="O15" s="38"/>
      <c r="P15" s="45"/>
      <c r="Q15" s="46"/>
    </row>
    <row r="16" spans="2:17" ht="15">
      <c r="B16" s="15">
        <f t="shared" si="2"/>
        <v>43807</v>
      </c>
      <c r="C16" s="154"/>
      <c r="D16" s="359"/>
      <c r="E16" s="268"/>
      <c r="F16" s="268"/>
      <c r="G16" s="269"/>
      <c r="H16" s="12">
        <f t="shared" si="0"/>
        <v>0</v>
      </c>
      <c r="I16" s="13">
        <f t="shared" si="1"/>
        <v>0</v>
      </c>
      <c r="J16" s="190"/>
      <c r="L16" s="48" t="str">
        <f>'08'!L16</f>
        <v>Beiträge AHV, IV, EO*:</v>
      </c>
      <c r="M16" s="43" t="s">
        <v>50</v>
      </c>
      <c r="N16" s="44">
        <f>IF(B3&gt;=DB_SoumisAVS,RS_AVS,0)</f>
        <v>0.05125</v>
      </c>
      <c r="O16" s="38"/>
      <c r="P16" s="50" t="e">
        <f>$Q$13*N16</f>
        <v>#N/A</v>
      </c>
      <c r="Q16" s="46"/>
    </row>
    <row r="17" spans="2:17" ht="15">
      <c r="B17" s="15">
        <f t="shared" si="2"/>
        <v>43808</v>
      </c>
      <c r="C17" s="154"/>
      <c r="D17" s="359"/>
      <c r="E17" s="268"/>
      <c r="F17" s="268"/>
      <c r="G17" s="269"/>
      <c r="H17" s="12">
        <f t="shared" si="0"/>
        <v>0</v>
      </c>
      <c r="I17" s="13">
        <f t="shared" si="1"/>
        <v>0</v>
      </c>
      <c r="J17" s="190"/>
      <c r="L17" s="48" t="str">
        <f>'08'!L17</f>
        <v>Beiträge ALV*:</v>
      </c>
      <c r="M17" s="43" t="s">
        <v>50</v>
      </c>
      <c r="N17" s="44">
        <f>IF(B3&gt;=DB_SoumisAVS,RS_AC,0)</f>
        <v>0.011</v>
      </c>
      <c r="O17" s="38"/>
      <c r="P17" s="50" t="e">
        <f>$Q$13*N17</f>
        <v>#N/A</v>
      </c>
      <c r="Q17" s="46"/>
    </row>
    <row r="18" spans="2:17" ht="15">
      <c r="B18" s="15">
        <f t="shared" si="2"/>
        <v>43809</v>
      </c>
      <c r="C18" s="154"/>
      <c r="D18" s="359"/>
      <c r="E18" s="268"/>
      <c r="F18" s="268"/>
      <c r="G18" s="269"/>
      <c r="H18" s="12">
        <f t="shared" si="0"/>
        <v>0</v>
      </c>
      <c r="I18" s="13">
        <f t="shared" si="1"/>
        <v>0</v>
      </c>
      <c r="J18" s="190"/>
      <c r="L18" s="48" t="str">
        <f>'08'!L18</f>
        <v>Nichtbetriebsunfall:</v>
      </c>
      <c r="M18" s="43" t="s">
        <v>244</v>
      </c>
      <c r="N18" s="44">
        <f>RS_ANP</f>
        <v>0.01641</v>
      </c>
      <c r="O18" s="38"/>
      <c r="P18" s="51" t="e">
        <f>$Q$13*N18</f>
        <v>#N/A</v>
      </c>
      <c r="Q18" s="46"/>
    </row>
    <row r="19" spans="2:17" ht="15">
      <c r="B19" s="15">
        <f t="shared" si="2"/>
        <v>43810</v>
      </c>
      <c r="C19" s="154"/>
      <c r="D19" s="359"/>
      <c r="E19" s="268"/>
      <c r="F19" s="268"/>
      <c r="G19" s="269"/>
      <c r="H19" s="12">
        <f t="shared" si="0"/>
        <v>0</v>
      </c>
      <c r="I19" s="13">
        <f t="shared" si="1"/>
        <v>0</v>
      </c>
      <c r="J19" s="190"/>
      <c r="L19" s="48" t="str">
        <f>'08'!L19</f>
        <v>Krankentaggeld:</v>
      </c>
      <c r="M19" s="43" t="s">
        <v>50</v>
      </c>
      <c r="N19" s="44">
        <f>RS_MC</f>
        <v>0.0044</v>
      </c>
      <c r="O19" s="38"/>
      <c r="P19" s="50" t="e">
        <f>$Q$13*N19</f>
        <v>#N/A</v>
      </c>
      <c r="Q19" s="46"/>
    </row>
    <row r="20" spans="2:16" ht="15">
      <c r="B20" s="15">
        <f t="shared" si="2"/>
        <v>43811</v>
      </c>
      <c r="C20" s="154"/>
      <c r="D20" s="359"/>
      <c r="E20" s="268"/>
      <c r="F20" s="268"/>
      <c r="G20" s="269"/>
      <c r="H20" s="12">
        <f t="shared" si="0"/>
        <v>0</v>
      </c>
      <c r="I20" s="13">
        <f t="shared" si="1"/>
        <v>0</v>
      </c>
      <c r="J20" s="190"/>
      <c r="L20" s="48" t="str">
        <f>'08'!L20</f>
        <v>Anderer Abzug:</v>
      </c>
      <c r="M20" s="511"/>
      <c r="N20" s="511"/>
      <c r="O20" s="38"/>
      <c r="P20" s="160"/>
    </row>
    <row r="21" spans="2:16" ht="15">
      <c r="B21" s="15">
        <f t="shared" si="2"/>
        <v>43812</v>
      </c>
      <c r="C21" s="154"/>
      <c r="D21" s="359"/>
      <c r="E21" s="268"/>
      <c r="F21" s="268"/>
      <c r="G21" s="269"/>
      <c r="H21" s="12">
        <f t="shared" si="0"/>
        <v>0</v>
      </c>
      <c r="I21" s="13">
        <f t="shared" si="1"/>
        <v>0</v>
      </c>
      <c r="J21" s="190"/>
      <c r="L21" s="38" t="e">
        <f>'08'!L21</f>
        <v>#N/A</v>
      </c>
      <c r="M21" s="34"/>
      <c r="N21" s="34"/>
      <c r="O21" s="38"/>
      <c r="P21" s="50" t="e">
        <f>IF(PN_EffMoy=0,I40,IF(Nb_Mois=12,Sa_NatureMensuelArrondi,Sa_NatureMensuelArrondi*C40/H42))</f>
        <v>#N/A</v>
      </c>
    </row>
    <row r="22" spans="2:16" ht="15">
      <c r="B22" s="15">
        <f t="shared" si="2"/>
        <v>43813</v>
      </c>
      <c r="C22" s="154"/>
      <c r="D22" s="359"/>
      <c r="E22" s="268"/>
      <c r="F22" s="268"/>
      <c r="G22" s="269"/>
      <c r="H22" s="12">
        <f t="shared" si="0"/>
        <v>0</v>
      </c>
      <c r="I22" s="13">
        <f t="shared" si="1"/>
        <v>0</v>
      </c>
      <c r="J22" s="190"/>
      <c r="L22" s="41" t="str">
        <f>'08'!L22</f>
        <v>*) sofern pflichtig</v>
      </c>
      <c r="P22" s="47"/>
    </row>
    <row r="23" spans="2:17" ht="15">
      <c r="B23" s="15">
        <f t="shared" si="2"/>
        <v>43814</v>
      </c>
      <c r="C23" s="154"/>
      <c r="D23" s="359"/>
      <c r="E23" s="268"/>
      <c r="F23" s="268"/>
      <c r="G23" s="269"/>
      <c r="H23" s="12">
        <f t="shared" si="0"/>
        <v>0</v>
      </c>
      <c r="I23" s="13">
        <f t="shared" si="1"/>
        <v>0</v>
      </c>
      <c r="J23" s="190"/>
      <c r="Q23" s="46"/>
    </row>
    <row r="24" spans="2:17" ht="15">
      <c r="B24" s="15">
        <f t="shared" si="2"/>
        <v>43815</v>
      </c>
      <c r="C24" s="154"/>
      <c r="D24" s="359"/>
      <c r="E24" s="268"/>
      <c r="F24" s="268"/>
      <c r="G24" s="269"/>
      <c r="H24" s="12">
        <f t="shared" si="0"/>
        <v>0</v>
      </c>
      <c r="I24" s="13">
        <f t="shared" si="1"/>
        <v>0</v>
      </c>
      <c r="J24" s="190"/>
      <c r="L24" s="39" t="str">
        <f>'08'!L24</f>
        <v>Total Abzüge</v>
      </c>
      <c r="Q24" s="49" t="e">
        <f>INT((SUM(P16:P21)*20)+0.5)/20</f>
        <v>#N/A</v>
      </c>
    </row>
    <row r="25" spans="2:17" ht="15">
      <c r="B25" s="15">
        <f t="shared" si="2"/>
        <v>43816</v>
      </c>
      <c r="C25" s="154"/>
      <c r="D25" s="359"/>
      <c r="E25" s="268"/>
      <c r="F25" s="268"/>
      <c r="G25" s="269"/>
      <c r="H25" s="12">
        <f t="shared" si="0"/>
        <v>0</v>
      </c>
      <c r="I25" s="13">
        <f t="shared" si="1"/>
        <v>0</v>
      </c>
      <c r="J25" s="190"/>
      <c r="Q25" s="47"/>
    </row>
    <row r="26" spans="2:17" ht="15">
      <c r="B26" s="15">
        <f t="shared" si="2"/>
        <v>43817</v>
      </c>
      <c r="C26" s="154"/>
      <c r="D26" s="359"/>
      <c r="E26" s="268"/>
      <c r="F26" s="268"/>
      <c r="G26" s="269"/>
      <c r="H26" s="12">
        <f t="shared" si="0"/>
        <v>0</v>
      </c>
      <c r="I26" s="13">
        <f t="shared" si="1"/>
        <v>0</v>
      </c>
      <c r="J26" s="190"/>
      <c r="L26" s="39" t="str">
        <f>'08'!L26</f>
        <v>Rückvergügungen</v>
      </c>
      <c r="M26" s="34"/>
      <c r="N26" s="34"/>
      <c r="O26" s="38"/>
      <c r="P26" s="45"/>
      <c r="Q26" s="46"/>
    </row>
    <row r="27" spans="2:17" ht="15">
      <c r="B27" s="15">
        <f t="shared" si="2"/>
        <v>43818</v>
      </c>
      <c r="C27" s="154"/>
      <c r="D27" s="359"/>
      <c r="E27" s="268"/>
      <c r="F27" s="268"/>
      <c r="G27" s="269"/>
      <c r="H27" s="12">
        <f t="shared" si="0"/>
        <v>0</v>
      </c>
      <c r="I27" s="13">
        <f t="shared" si="1"/>
        <v>0</v>
      </c>
      <c r="J27" s="190"/>
      <c r="L27" s="38" t="str">
        <f>'08'!L27</f>
        <v>Kostenbeteiligungen</v>
      </c>
      <c r="M27" s="511"/>
      <c r="N27" s="511"/>
      <c r="O27" s="38"/>
      <c r="P27" s="159"/>
      <c r="Q27" s="46"/>
    </row>
    <row r="28" spans="2:17" ht="15">
      <c r="B28" s="15">
        <f t="shared" si="2"/>
        <v>43819</v>
      </c>
      <c r="C28" s="154"/>
      <c r="D28" s="359"/>
      <c r="E28" s="268"/>
      <c r="F28" s="268"/>
      <c r="G28" s="269"/>
      <c r="H28" s="12">
        <f t="shared" si="0"/>
        <v>0</v>
      </c>
      <c r="I28" s="13">
        <f t="shared" si="1"/>
        <v>0</v>
      </c>
      <c r="J28" s="190"/>
      <c r="L28" s="38" t="str">
        <f>'08'!L28</f>
        <v>Übrige Rückvergütungen</v>
      </c>
      <c r="M28" s="512"/>
      <c r="N28" s="512"/>
      <c r="O28" s="38"/>
      <c r="P28" s="160"/>
      <c r="Q28" s="46"/>
    </row>
    <row r="29" spans="2:10" ht="15">
      <c r="B29" s="15">
        <f t="shared" si="2"/>
        <v>43820</v>
      </c>
      <c r="C29" s="154"/>
      <c r="D29" s="359"/>
      <c r="E29" s="268"/>
      <c r="F29" s="268"/>
      <c r="G29" s="269"/>
      <c r="H29" s="12">
        <f t="shared" si="0"/>
        <v>0</v>
      </c>
      <c r="I29" s="13">
        <f t="shared" si="1"/>
        <v>0</v>
      </c>
      <c r="J29" s="190"/>
    </row>
    <row r="30" spans="2:17" ht="15">
      <c r="B30" s="15">
        <f t="shared" si="2"/>
        <v>43821</v>
      </c>
      <c r="C30" s="154"/>
      <c r="D30" s="359"/>
      <c r="E30" s="268"/>
      <c r="F30" s="268"/>
      <c r="G30" s="269"/>
      <c r="H30" s="12">
        <f t="shared" si="0"/>
        <v>0</v>
      </c>
      <c r="I30" s="13">
        <f t="shared" si="1"/>
        <v>0</v>
      </c>
      <c r="J30" s="190"/>
      <c r="L30" s="39" t="str">
        <f>'08'!L30</f>
        <v>Zuschläge</v>
      </c>
      <c r="M30" s="34"/>
      <c r="N30" s="34"/>
      <c r="O30" s="38"/>
      <c r="P30" s="45"/>
      <c r="Q30" s="52">
        <f>SUM(P27:P28)</f>
        <v>0</v>
      </c>
    </row>
    <row r="31" spans="2:17" ht="15">
      <c r="B31" s="15">
        <f t="shared" si="2"/>
        <v>43822</v>
      </c>
      <c r="C31" s="154"/>
      <c r="D31" s="359"/>
      <c r="E31" s="268"/>
      <c r="F31" s="268"/>
      <c r="G31" s="269"/>
      <c r="H31" s="12">
        <f t="shared" si="0"/>
        <v>0</v>
      </c>
      <c r="I31" s="13">
        <f t="shared" si="1"/>
        <v>0</v>
      </c>
      <c r="J31" s="190"/>
      <c r="L31" s="34"/>
      <c r="M31" s="34"/>
      <c r="N31" s="34"/>
      <c r="O31" s="38"/>
      <c r="P31" s="45"/>
      <c r="Q31" s="46"/>
    </row>
    <row r="32" spans="2:17" ht="15">
      <c r="B32" s="15">
        <f t="shared" si="2"/>
        <v>43823</v>
      </c>
      <c r="C32" s="154"/>
      <c r="D32" s="359"/>
      <c r="E32" s="268"/>
      <c r="F32" s="268"/>
      <c r="G32" s="269"/>
      <c r="H32" s="12">
        <f t="shared" si="0"/>
        <v>0</v>
      </c>
      <c r="I32" s="13">
        <f t="shared" si="1"/>
        <v>0</v>
      </c>
      <c r="J32" s="190"/>
      <c r="L32" s="39" t="str">
        <f>'08'!L32</f>
        <v>Netto-Auszahlung</v>
      </c>
      <c r="M32" s="34"/>
      <c r="N32" s="34"/>
      <c r="O32" s="38"/>
      <c r="P32" s="45"/>
      <c r="Q32" s="53" t="e">
        <f>Q13+Q30-Q24</f>
        <v>#N/A</v>
      </c>
    </row>
    <row r="33" spans="2:17" ht="15">
      <c r="B33" s="15">
        <f t="shared" si="2"/>
        <v>43824</v>
      </c>
      <c r="C33" s="154"/>
      <c r="D33" s="359"/>
      <c r="E33" s="268"/>
      <c r="F33" s="268"/>
      <c r="G33" s="269"/>
      <c r="H33" s="12">
        <f t="shared" si="0"/>
        <v>0</v>
      </c>
      <c r="I33" s="13">
        <f t="shared" si="1"/>
        <v>0</v>
      </c>
      <c r="J33" s="190"/>
      <c r="L33" s="34"/>
      <c r="M33" s="386" t="str">
        <f>'08'!M33</f>
        <v>aktueller
Monat</v>
      </c>
      <c r="N33" s="386" t="str">
        <f>'08'!N33</f>
        <v>Summe der
Vormonate</v>
      </c>
      <c r="O33" s="386" t="str">
        <f>'08'!O33</f>
        <v>Jahresvor-
anschlag:</v>
      </c>
      <c r="P33" s="510"/>
      <c r="Q33" s="386" t="str">
        <f>'08'!Q33</f>
        <v>Aktueller
Saldo</v>
      </c>
    </row>
    <row r="34" spans="2:17" ht="15">
      <c r="B34" s="15">
        <f t="shared" si="2"/>
        <v>43825</v>
      </c>
      <c r="C34" s="154"/>
      <c r="D34" s="359"/>
      <c r="E34" s="268"/>
      <c r="F34" s="268"/>
      <c r="G34" s="269"/>
      <c r="H34" s="12">
        <f t="shared" si="0"/>
        <v>0</v>
      </c>
      <c r="I34" s="13">
        <f t="shared" si="1"/>
        <v>0</v>
      </c>
      <c r="J34" s="190"/>
      <c r="L34" s="56" t="str">
        <f>'08'!L34</f>
        <v>Tagesabrechnung</v>
      </c>
      <c r="M34" s="387">
        <f>'08'!M34</f>
        <v>0</v>
      </c>
      <c r="N34" s="387">
        <f>'08'!N34</f>
        <v>0</v>
      </c>
      <c r="O34" s="387">
        <f>'08'!O34</f>
        <v>0</v>
      </c>
      <c r="P34" s="510"/>
      <c r="Q34" s="387">
        <f>'08'!Q34</f>
        <v>0</v>
      </c>
    </row>
    <row r="35" spans="2:17" ht="15">
      <c r="B35" s="15">
        <f t="shared" si="2"/>
        <v>43826</v>
      </c>
      <c r="C35" s="154"/>
      <c r="D35" s="359"/>
      <c r="E35" s="268"/>
      <c r="F35" s="268"/>
      <c r="G35" s="269"/>
      <c r="H35" s="12">
        <f t="shared" si="0"/>
        <v>0</v>
      </c>
      <c r="I35" s="13">
        <f t="shared" si="1"/>
        <v>0</v>
      </c>
      <c r="J35" s="190"/>
      <c r="L35" s="287" t="str">
        <f>'08'!L35</f>
        <v>Arbeit:</v>
      </c>
      <c r="M35" s="262">
        <f aca="true" t="shared" si="3" ref="M35:N38">H43</f>
        <v>0</v>
      </c>
      <c r="N35" s="262">
        <f t="shared" si="3"/>
        <v>0</v>
      </c>
      <c r="O35" s="262" t="e">
        <f>NJ_Travail</f>
        <v>#N/A</v>
      </c>
      <c r="Q35" s="263" t="e">
        <f aca="true" t="shared" si="4" ref="Q35:Q42">O35-N35-M35</f>
        <v>#N/A</v>
      </c>
    </row>
    <row r="36" spans="2:17" ht="15">
      <c r="B36" s="15">
        <f t="shared" si="2"/>
        <v>43827</v>
      </c>
      <c r="C36" s="154"/>
      <c r="D36" s="359"/>
      <c r="E36" s="268"/>
      <c r="F36" s="268"/>
      <c r="G36" s="269"/>
      <c r="H36" s="12">
        <f t="shared" si="0"/>
        <v>0</v>
      </c>
      <c r="I36" s="13">
        <f t="shared" si="1"/>
        <v>0</v>
      </c>
      <c r="J36" s="190"/>
      <c r="L36" s="287" t="str">
        <f>'08'!L36</f>
        <v>Schultage:</v>
      </c>
      <c r="M36" s="178">
        <f t="shared" si="3"/>
        <v>0</v>
      </c>
      <c r="N36" s="178">
        <f t="shared" si="3"/>
        <v>0</v>
      </c>
      <c r="O36" s="178" t="e">
        <f>NJ_CoursProf</f>
        <v>#N/A</v>
      </c>
      <c r="Q36" s="179" t="e">
        <f t="shared" si="4"/>
        <v>#N/A</v>
      </c>
    </row>
    <row r="37" spans="2:17" ht="15">
      <c r="B37" s="15">
        <f t="shared" si="2"/>
        <v>43828</v>
      </c>
      <c r="C37" s="154"/>
      <c r="D37" s="359"/>
      <c r="E37" s="268"/>
      <c r="F37" s="268"/>
      <c r="G37" s="269"/>
      <c r="H37" s="12">
        <f t="shared" si="0"/>
        <v>0</v>
      </c>
      <c r="I37" s="13">
        <f t="shared" si="1"/>
        <v>0</v>
      </c>
      <c r="J37" s="190"/>
      <c r="L37" s="287" t="str">
        <f>'08'!L37</f>
        <v>üK:</v>
      </c>
      <c r="M37" s="178">
        <f t="shared" si="3"/>
        <v>0</v>
      </c>
      <c r="N37" s="178">
        <f t="shared" si="3"/>
        <v>0</v>
      </c>
      <c r="O37" s="178" t="e">
        <f>NJ_CoursIE</f>
        <v>#N/A</v>
      </c>
      <c r="Q37" s="179" t="e">
        <f t="shared" si="4"/>
        <v>#N/A</v>
      </c>
    </row>
    <row r="38" spans="2:17" ht="15">
      <c r="B38" s="15">
        <f t="shared" si="2"/>
        <v>43829</v>
      </c>
      <c r="C38" s="154"/>
      <c r="D38" s="359"/>
      <c r="E38" s="268"/>
      <c r="F38" s="268"/>
      <c r="G38" s="269"/>
      <c r="H38" s="12">
        <f t="shared" si="0"/>
        <v>0</v>
      </c>
      <c r="I38" s="13">
        <f t="shared" si="1"/>
        <v>0</v>
      </c>
      <c r="J38" s="190"/>
      <c r="L38" s="287" t="str">
        <f>'08'!L38</f>
        <v>Militär:</v>
      </c>
      <c r="M38" s="178">
        <f t="shared" si="3"/>
        <v>0</v>
      </c>
      <c r="N38" s="178">
        <f t="shared" si="3"/>
        <v>0</v>
      </c>
      <c r="O38" s="178">
        <f>NJ_Bloc</f>
        <v>0</v>
      </c>
      <c r="Q38" s="179">
        <f t="shared" si="4"/>
        <v>0</v>
      </c>
    </row>
    <row r="39" spans="2:17" ht="15.75" thickBot="1">
      <c r="B39" s="58">
        <f t="shared" si="2"/>
        <v>43830</v>
      </c>
      <c r="C39" s="154"/>
      <c r="D39" s="359"/>
      <c r="E39" s="268"/>
      <c r="F39" s="268"/>
      <c r="G39" s="269"/>
      <c r="H39" s="12">
        <f t="shared" si="0"/>
        <v>0</v>
      </c>
      <c r="I39" s="13">
        <f t="shared" si="1"/>
        <v>0</v>
      </c>
      <c r="J39" s="191"/>
      <c r="L39" s="287" t="str">
        <f>'08'!L39</f>
        <v>Frei:</v>
      </c>
      <c r="M39" s="262">
        <f aca="true" t="shared" si="5" ref="M39:N42">H47</f>
        <v>0</v>
      </c>
      <c r="N39" s="262">
        <f t="shared" si="5"/>
        <v>0</v>
      </c>
      <c r="O39" s="262" t="e">
        <f>NJ_Conge</f>
        <v>#N/A</v>
      </c>
      <c r="Q39" s="263" t="e">
        <f t="shared" si="4"/>
        <v>#N/A</v>
      </c>
    </row>
    <row r="40" spans="2:17" ht="15.75" thickBot="1">
      <c r="B40" s="335" t="str">
        <f>'08'!B40</f>
        <v>Total</v>
      </c>
      <c r="C40" s="336">
        <f>COUNTIF(C9:C39,"a")+COUNTIF(C9:C39,"b")+COUNTIF(C9:C39,"c")+COUNTIF(C9:C39,"d")+COUNTIF(C9:C39,"e")+COUNTIF(C9:C39,"f")+COUNTIF(C9:C39,"g")+COUNTIF(C9:C39,"h")+COUNTIF(C9:C39,"i")</f>
        <v>0</v>
      </c>
      <c r="D40" s="17">
        <f aca="true" t="shared" si="6" ref="D40:I40">SUM(D9:D39)</f>
        <v>0</v>
      </c>
      <c r="E40" s="18">
        <f t="shared" si="6"/>
        <v>0</v>
      </c>
      <c r="F40" s="18">
        <f t="shared" si="6"/>
        <v>0</v>
      </c>
      <c r="G40" s="19">
        <f t="shared" si="6"/>
        <v>0</v>
      </c>
      <c r="H40" s="20">
        <f t="shared" si="6"/>
        <v>0</v>
      </c>
      <c r="I40" s="21">
        <f t="shared" si="6"/>
        <v>0</v>
      </c>
      <c r="J40" s="337" t="e">
        <f>INT(((Sa_NatureMensuel/H42*C40)*20)+0.5)/20</f>
        <v>#N/A</v>
      </c>
      <c r="L40" s="288" t="str">
        <f>'08'!L40</f>
        <v>Ferien:</v>
      </c>
      <c r="M40" s="289">
        <f t="shared" si="5"/>
        <v>0</v>
      </c>
      <c r="N40" s="289">
        <f t="shared" si="5"/>
        <v>0</v>
      </c>
      <c r="O40" s="289" t="e">
        <f>NJ_Vacances</f>
        <v>#N/A</v>
      </c>
      <c r="Q40" s="290" t="e">
        <f t="shared" si="4"/>
        <v>#N/A</v>
      </c>
    </row>
    <row r="41" spans="2:17" ht="15.75" thickBot="1">
      <c r="B41" s="452"/>
      <c r="C41" s="453"/>
      <c r="D41" s="453"/>
      <c r="E41" s="453"/>
      <c r="F41" s="453"/>
      <c r="G41" s="506"/>
      <c r="H41" s="286">
        <f>B3</f>
        <v>43800</v>
      </c>
      <c r="I41" s="22" t="str">
        <f>'08'!I41</f>
        <v>Total</v>
      </c>
      <c r="J41" s="23"/>
      <c r="L41" s="288" t="str">
        <f>'08'!L41</f>
        <v>Unfall:</v>
      </c>
      <c r="M41" s="289">
        <f t="shared" si="5"/>
        <v>0</v>
      </c>
      <c r="N41" s="289">
        <f t="shared" si="5"/>
        <v>0</v>
      </c>
      <c r="O41" s="289">
        <v>0</v>
      </c>
      <c r="Q41" s="290">
        <f t="shared" si="4"/>
        <v>0</v>
      </c>
    </row>
    <row r="42" spans="2:17" ht="15">
      <c r="B42" s="408" t="str">
        <f>'08'!B42</f>
        <v>Tagesabrechnung</v>
      </c>
      <c r="C42" s="409" t="e">
        <f>'08'!C42</f>
        <v>#N/A</v>
      </c>
      <c r="D42" s="409" t="e">
        <f>'08'!D42</f>
        <v>#REF!</v>
      </c>
      <c r="E42" s="409" t="e">
        <f>'08'!E42</f>
        <v>#REF!</v>
      </c>
      <c r="F42" s="409" t="e">
        <f>'08'!F42</f>
        <v>#REF!</v>
      </c>
      <c r="G42" s="410" t="e">
        <f>'08'!G42</f>
        <v>#REF!</v>
      </c>
      <c r="H42" s="24">
        <v>31</v>
      </c>
      <c r="I42" s="25">
        <f>SUM('11'!H42:I42)</f>
        <v>122</v>
      </c>
      <c r="J42" s="26"/>
      <c r="L42" s="287" t="str">
        <f>'08'!L42</f>
        <v>Krankheit:</v>
      </c>
      <c r="M42" s="178">
        <f t="shared" si="5"/>
        <v>0</v>
      </c>
      <c r="N42" s="178">
        <f t="shared" si="5"/>
        <v>0</v>
      </c>
      <c r="O42" s="178">
        <v>0</v>
      </c>
      <c r="Q42" s="179">
        <f t="shared" si="4"/>
        <v>0</v>
      </c>
    </row>
    <row r="43" spans="2:10" ht="15">
      <c r="B43" s="402" t="str">
        <f>'08'!B43</f>
        <v>Arbeitstage ( a )</v>
      </c>
      <c r="C43" s="403" t="e">
        <f>'08'!C43</f>
        <v>#N/A</v>
      </c>
      <c r="D43" s="403" t="e">
        <f>'08'!D43</f>
        <v>#REF!</v>
      </c>
      <c r="E43" s="403" t="e">
        <f>'08'!E43</f>
        <v>#REF!</v>
      </c>
      <c r="F43" s="403" t="e">
        <f>'08'!F43</f>
        <v>#REF!</v>
      </c>
      <c r="G43" s="404" t="e">
        <f>'08'!G43</f>
        <v>#REF!</v>
      </c>
      <c r="H43" s="27">
        <f>COUNTIF(C9:C39,"a")+COUNTIF(C9:C39,"f")/2</f>
        <v>0</v>
      </c>
      <c r="I43" s="28">
        <f>SUM('11'!H43:I43)</f>
        <v>0</v>
      </c>
      <c r="J43" s="29"/>
    </row>
    <row r="44" spans="2:17" ht="15">
      <c r="B44" s="402" t="str">
        <f>'08'!B44</f>
        <v>Schultage ( b )</v>
      </c>
      <c r="C44" s="403" t="e">
        <f>'08'!C44</f>
        <v>#N/A</v>
      </c>
      <c r="D44" s="403" t="e">
        <f>'08'!D44</f>
        <v>#REF!</v>
      </c>
      <c r="E44" s="403" t="e">
        <f>'08'!E44</f>
        <v>#REF!</v>
      </c>
      <c r="F44" s="403" t="e">
        <f>'08'!F44</f>
        <v>#REF!</v>
      </c>
      <c r="G44" s="404" t="e">
        <f>'08'!G44</f>
        <v>#REF!</v>
      </c>
      <c r="H44" s="27">
        <f>COUNTIF(C9:C39,"b")</f>
        <v>0</v>
      </c>
      <c r="I44" s="28">
        <f>SUM('11'!H44:I44)</f>
        <v>0</v>
      </c>
      <c r="J44" s="29"/>
      <c r="L44" s="38" t="str">
        <f>'08'!L44</f>
        <v>Bemerkungen:</v>
      </c>
      <c r="M44" s="513"/>
      <c r="N44" s="514"/>
      <c r="O44" s="514"/>
      <c r="P44" s="514"/>
      <c r="Q44" s="515"/>
    </row>
    <row r="45" spans="2:17" ht="15">
      <c r="B45" s="402" t="str">
        <f>'08'!B45</f>
        <v>überbetriebliche Kurse ( c )</v>
      </c>
      <c r="C45" s="403" t="e">
        <f>'08'!C45</f>
        <v>#N/A</v>
      </c>
      <c r="D45" s="403" t="e">
        <f>'08'!D45</f>
        <v>#REF!</v>
      </c>
      <c r="E45" s="403" t="e">
        <f>'08'!E45</f>
        <v>#REF!</v>
      </c>
      <c r="F45" s="403" t="e">
        <f>'08'!F45</f>
        <v>#REF!</v>
      </c>
      <c r="G45" s="404" t="e">
        <f>'08'!G45</f>
        <v>#REF!</v>
      </c>
      <c r="H45" s="27">
        <f>COUNTIF(C9:C39,"c")</f>
        <v>0</v>
      </c>
      <c r="I45" s="28">
        <f>SUM('11'!H45:I45)</f>
        <v>0</v>
      </c>
      <c r="J45" s="29"/>
      <c r="L45" s="34"/>
      <c r="M45" s="516"/>
      <c r="N45" s="517"/>
      <c r="O45" s="517"/>
      <c r="P45" s="517"/>
      <c r="Q45" s="518"/>
    </row>
    <row r="46" spans="2:17" ht="15">
      <c r="B46" s="402" t="str">
        <f>'08'!B46</f>
        <v>Militär ( i )</v>
      </c>
      <c r="C46" s="403" t="e">
        <f>'08'!C46</f>
        <v>#N/A</v>
      </c>
      <c r="D46" s="403" t="e">
        <f>'08'!D46</f>
        <v>#REF!</v>
      </c>
      <c r="E46" s="403" t="e">
        <f>'08'!E46</f>
        <v>#REF!</v>
      </c>
      <c r="F46" s="403" t="e">
        <f>'08'!F46</f>
        <v>#REF!</v>
      </c>
      <c r="G46" s="404" t="e">
        <f>'08'!G46</f>
        <v>#REF!</v>
      </c>
      <c r="H46" s="27">
        <f>COUNTIF(C9:C39,"i")</f>
        <v>0</v>
      </c>
      <c r="I46" s="28">
        <f>SUM('11'!H46:I46)</f>
        <v>0</v>
      </c>
      <c r="J46" s="29"/>
      <c r="L46" s="34"/>
      <c r="M46" s="519"/>
      <c r="N46" s="520"/>
      <c r="O46" s="520"/>
      <c r="P46" s="520"/>
      <c r="Q46" s="521"/>
    </row>
    <row r="47" spans="2:17" ht="15">
      <c r="B47" s="402" t="str">
        <f>'08'!B47</f>
        <v>Frei ( d )</v>
      </c>
      <c r="C47" s="403" t="e">
        <f>'08'!C47</f>
        <v>#N/A</v>
      </c>
      <c r="D47" s="403" t="e">
        <f>'08'!D47</f>
        <v>#REF!</v>
      </c>
      <c r="E47" s="403" t="e">
        <f>'08'!E47</f>
        <v>#REF!</v>
      </c>
      <c r="F47" s="403" t="e">
        <f>'08'!F47</f>
        <v>#REF!</v>
      </c>
      <c r="G47" s="404" t="e">
        <f>'08'!G47</f>
        <v>#REF!</v>
      </c>
      <c r="H47" s="27">
        <f>COUNTIF(C9:C39,"d")+COUNTIF(C9:C39,"f")/2</f>
        <v>0</v>
      </c>
      <c r="I47" s="28">
        <f>SUM('11'!H47:I47)</f>
        <v>0</v>
      </c>
      <c r="J47" s="29"/>
      <c r="L47" s="34"/>
      <c r="M47" s="34"/>
      <c r="N47" s="34"/>
      <c r="O47" s="38"/>
      <c r="P47" s="34"/>
      <c r="Q47" s="40"/>
    </row>
    <row r="48" spans="1:17" ht="15">
      <c r="A48" s="7">
        <v>289</v>
      </c>
      <c r="B48" s="402" t="str">
        <f>'08'!B48</f>
        <v>Ferien ( e )</v>
      </c>
      <c r="C48" s="403" t="e">
        <f>'08'!C48</f>
        <v>#N/A</v>
      </c>
      <c r="D48" s="403" t="e">
        <f>'08'!D48</f>
        <v>#REF!</v>
      </c>
      <c r="E48" s="403" t="e">
        <f>'08'!E48</f>
        <v>#REF!</v>
      </c>
      <c r="F48" s="403" t="e">
        <f>'08'!F48</f>
        <v>#REF!</v>
      </c>
      <c r="G48" s="404" t="e">
        <f>'08'!G48</f>
        <v>#REF!</v>
      </c>
      <c r="H48" s="27">
        <f>COUNTIF(C9:C39,"e")</f>
        <v>0</v>
      </c>
      <c r="I48" s="28">
        <f>SUM('11'!H48:I48)</f>
        <v>0</v>
      </c>
      <c r="J48" s="29"/>
      <c r="L48" s="38" t="str">
        <f>'08'!L48</f>
        <v>Datum</v>
      </c>
      <c r="M48" s="177"/>
      <c r="N48" s="34"/>
      <c r="O48" s="38" t="str">
        <f>'08'!O48</f>
        <v>Berufsbildner /in</v>
      </c>
      <c r="P48" s="54"/>
      <c r="Q48" s="55"/>
    </row>
    <row r="49" spans="1:17" ht="15">
      <c r="A49" s="7">
        <v>290</v>
      </c>
      <c r="B49" s="402" t="str">
        <f>'08'!B49</f>
        <v>Unfall ( g )</v>
      </c>
      <c r="C49" s="403" t="e">
        <f>'08'!C49</f>
        <v>#N/A</v>
      </c>
      <c r="D49" s="403" t="e">
        <f>'08'!D49</f>
        <v>#REF!</v>
      </c>
      <c r="E49" s="403" t="e">
        <f>'08'!E49</f>
        <v>#REF!</v>
      </c>
      <c r="F49" s="403" t="e">
        <f>'08'!F49</f>
        <v>#REF!</v>
      </c>
      <c r="G49" s="404" t="e">
        <f>'08'!G49</f>
        <v>#REF!</v>
      </c>
      <c r="H49" s="27">
        <f>COUNTIF(C9:C39,"g")</f>
        <v>0</v>
      </c>
      <c r="I49" s="28">
        <f>SUM('11'!H49:I49)</f>
        <v>0</v>
      </c>
      <c r="J49" s="29"/>
      <c r="L49" s="34"/>
      <c r="M49" s="34"/>
      <c r="N49" s="34"/>
      <c r="O49" s="38"/>
      <c r="P49" s="34"/>
      <c r="Q49" s="40"/>
    </row>
    <row r="50" spans="1:17" s="7" customFormat="1" ht="15.75" thickBot="1">
      <c r="A50" s="285">
        <v>291</v>
      </c>
      <c r="B50" s="383" t="str">
        <f>'08'!B50</f>
        <v>Krankheit ( h )</v>
      </c>
      <c r="C50" s="384" t="e">
        <f>'08'!C50</f>
        <v>#N/A</v>
      </c>
      <c r="D50" s="384" t="e">
        <f>'08'!D50</f>
        <v>#REF!</v>
      </c>
      <c r="E50" s="384" t="e">
        <f>'08'!E50</f>
        <v>#REF!</v>
      </c>
      <c r="F50" s="384" t="e">
        <f>'08'!F50</f>
        <v>#REF!</v>
      </c>
      <c r="G50" s="385" t="e">
        <f>'08'!G50</f>
        <v>#REF!</v>
      </c>
      <c r="H50" s="30">
        <f>COUNTIF(C9:C39,"h")</f>
        <v>0</v>
      </c>
      <c r="I50" s="31">
        <f>SUM('11'!H50:I50)</f>
        <v>0</v>
      </c>
      <c r="J50" s="32"/>
      <c r="L50" s="34"/>
      <c r="M50" s="35"/>
      <c r="N50" s="34"/>
      <c r="O50" s="38" t="str">
        <f>'08'!O50</f>
        <v>Lernende /r</v>
      </c>
      <c r="P50" s="54"/>
      <c r="Q50" s="55"/>
    </row>
    <row r="51" spans="12:17" ht="14.25">
      <c r="L51" s="34"/>
      <c r="M51" s="35"/>
      <c r="N51" s="34"/>
      <c r="O51" s="38"/>
      <c r="P51" s="54"/>
      <c r="Q51" s="55"/>
    </row>
  </sheetData>
  <sheetProtection password="83EF" sheet="1" objects="1" scenarios="1"/>
  <mergeCells count="37">
    <mergeCell ref="C2:J2"/>
    <mergeCell ref="B1:J1"/>
    <mergeCell ref="L1:Q1"/>
    <mergeCell ref="M3:N3"/>
    <mergeCell ref="O3:P3"/>
    <mergeCell ref="B3:B8"/>
    <mergeCell ref="C3:C8"/>
    <mergeCell ref="D3:D8"/>
    <mergeCell ref="E3:E8"/>
    <mergeCell ref="G3:G8"/>
    <mergeCell ref="H3:H8"/>
    <mergeCell ref="I3:I8"/>
    <mergeCell ref="F3:F8"/>
    <mergeCell ref="J3:J8"/>
    <mergeCell ref="M5:Q5"/>
    <mergeCell ref="M6:Q6"/>
    <mergeCell ref="M20:N20"/>
    <mergeCell ref="M27:N27"/>
    <mergeCell ref="M28:N28"/>
    <mergeCell ref="M7:Q7"/>
    <mergeCell ref="M8:N8"/>
    <mergeCell ref="M44:Q46"/>
    <mergeCell ref="Q33:Q34"/>
    <mergeCell ref="B46:G46"/>
    <mergeCell ref="B50:G50"/>
    <mergeCell ref="B43:G43"/>
    <mergeCell ref="B47:G47"/>
    <mergeCell ref="B44:G44"/>
    <mergeCell ref="B45:G45"/>
    <mergeCell ref="B48:G48"/>
    <mergeCell ref="B49:G49"/>
    <mergeCell ref="B41:G41"/>
    <mergeCell ref="B42:G42"/>
    <mergeCell ref="N33:N34"/>
    <mergeCell ref="M33:M34"/>
    <mergeCell ref="P33:P34"/>
    <mergeCell ref="O33:O34"/>
  </mergeCells>
  <conditionalFormatting sqref="E9:E39">
    <cfRule type="cellIs" priority="26" dxfId="9" operator="lessThan" stopIfTrue="1">
      <formula>0</formula>
    </cfRule>
    <cfRule type="cellIs" priority="27" dxfId="8" operator="greaterThan" stopIfTrue="1">
      <formula>0</formula>
    </cfRule>
    <cfRule type="expression" priority="28" dxfId="7" stopIfTrue="1">
      <formula>OR(C9="a",C9="b",C9="c")</formula>
    </cfRule>
  </conditionalFormatting>
  <conditionalFormatting sqref="F9:F39">
    <cfRule type="cellIs" priority="29" dxfId="9" operator="lessThan" stopIfTrue="1">
      <formula>0</formula>
    </cfRule>
    <cfRule type="cellIs" priority="30" dxfId="8" operator="greaterThan" stopIfTrue="1">
      <formula>0</formula>
    </cfRule>
    <cfRule type="expression" priority="31" dxfId="7" stopIfTrue="1">
      <formula>OR(C9="a")</formula>
    </cfRule>
  </conditionalFormatting>
  <conditionalFormatting sqref="G9:G39">
    <cfRule type="cellIs" priority="32" dxfId="9" operator="lessThan" stopIfTrue="1">
      <formula>0</formula>
    </cfRule>
    <cfRule type="cellIs" priority="33" dxfId="8" operator="greaterThan" stopIfTrue="1">
      <formula>0</formula>
    </cfRule>
    <cfRule type="expression" priority="34" dxfId="7" stopIfTrue="1">
      <formula>OR(C9="a",C9="b",C9="c")</formula>
    </cfRule>
  </conditionalFormatting>
  <conditionalFormatting sqref="B9:B39">
    <cfRule type="expression" priority="22" dxfId="0" stopIfTrue="1">
      <formula>WEEKDAY(B9)=1</formula>
    </cfRule>
  </conditionalFormatting>
  <conditionalFormatting sqref="C9:C39">
    <cfRule type="expression" priority="36" dxfId="2" stopIfTrue="1">
      <formula>AND(C9&lt;&gt;"",C9&lt;&gt;"a",C9&lt;&gt;"b",C9&lt;&gt;"c",C9&lt;&gt;"d",C9&lt;&gt;"e",C9&lt;&gt;"f",C9&lt;&gt;"g",C9&lt;&gt;"h",C9&lt;&gt;"i")</formula>
    </cfRule>
  </conditionalFormatting>
  <conditionalFormatting sqref="D9:D39">
    <cfRule type="cellIs" priority="37" dxfId="9" operator="lessThan" stopIfTrue="1">
      <formula>0</formula>
    </cfRule>
    <cfRule type="cellIs" priority="38" dxfId="8" operator="greaterThan" stopIfTrue="1">
      <formula>0</formula>
    </cfRule>
    <cfRule type="expression" priority="39" dxfId="7" stopIfTrue="1">
      <formula>AND(C9&lt;&gt;"",C9&lt;&gt;"i")</formula>
    </cfRule>
  </conditionalFormatting>
  <conditionalFormatting sqref="D9:D38">
    <cfRule type="cellIs" priority="13" dxfId="9" operator="lessThan" stopIfTrue="1">
      <formula>0</formula>
    </cfRule>
    <cfRule type="cellIs" priority="14" dxfId="8" operator="greaterThan" stopIfTrue="1">
      <formula>0</formula>
    </cfRule>
    <cfRule type="expression" priority="15" dxfId="7" stopIfTrue="1">
      <formula>AND(C9&lt;&gt;"",OR(PN_LogisOuiNon=1,AND(PN_LogisOuiNon=2,C9&lt;&gt;"i")))</formula>
    </cfRule>
  </conditionalFormatting>
  <conditionalFormatting sqref="D9:D38">
    <cfRule type="cellIs" priority="10" dxfId="9" operator="lessThan" stopIfTrue="1">
      <formula>0</formula>
    </cfRule>
    <cfRule type="cellIs" priority="11" dxfId="8" operator="greaterThan" stopIfTrue="1">
      <formula>0</formula>
    </cfRule>
    <cfRule type="expression" priority="12" dxfId="7" stopIfTrue="1">
      <formula>AND(C9&lt;&gt;"",C9&lt;&gt;"i")</formula>
    </cfRule>
  </conditionalFormatting>
  <conditionalFormatting sqref="D9:D38">
    <cfRule type="cellIs" priority="7" dxfId="9" operator="lessThan" stopIfTrue="1">
      <formula>0</formula>
    </cfRule>
    <cfRule type="cellIs" priority="8" dxfId="8" operator="greaterThan" stopIfTrue="1">
      <formula>0</formula>
    </cfRule>
    <cfRule type="expression" priority="9" dxfId="7" stopIfTrue="1">
      <formula>AND(C9&lt;&gt;"",OR(PN_LogisOuiNon=1,AND(PN_LogisOuiNon=2,C9&lt;&gt;"i")))</formula>
    </cfRule>
  </conditionalFormatting>
  <conditionalFormatting sqref="D9:D38">
    <cfRule type="cellIs" priority="4" dxfId="9" operator="lessThan" stopIfTrue="1">
      <formula>0</formula>
    </cfRule>
    <cfRule type="cellIs" priority="5" dxfId="8" operator="greaterThan" stopIfTrue="1">
      <formula>0</formula>
    </cfRule>
    <cfRule type="expression" priority="6" dxfId="7" stopIfTrue="1">
      <formula>AND(C9&lt;&gt;"",OR(PN_LogisOuiNon=1,AND(PN_LogisOuiNon=2,C9&lt;&gt;"j")))</formula>
    </cfRule>
  </conditionalFormatting>
  <conditionalFormatting sqref="H9:H39">
    <cfRule type="expression" priority="1" dxfId="6" stopIfTrue="1">
      <formula>C9="a"</formula>
    </cfRule>
    <cfRule type="expression" priority="2" dxfId="5" stopIfTrue="1">
      <formula>OR(C9="b",C9="c")</formula>
    </cfRule>
    <cfRule type="expression" priority="3" dxfId="0" stopIfTrue="1">
      <formula>OR(C9="d",C9="e")</formula>
    </cfRule>
  </conditionalFormatting>
  <hyperlinks>
    <hyperlink ref="C3:C8" location="Help_Code" display="Help_Code"/>
  </hyperlinks>
  <printOptions horizontalCentered="1" verticalCentered="1"/>
  <pageMargins left="0.3937007874015748" right="0.3937007874015748" top="0.5905511811023623" bottom="0.3937007874015748" header="0.5118110236220472" footer="0.31496062992125984"/>
  <pageSetup horizontalDpi="600" verticalDpi="600" orientation="portrait" paperSize="9" r:id="rId1"/>
  <headerFooter alignWithMargins="0">
    <oddFooter>&amp;L&amp;A&amp;RPage &amp;P</oddFooter>
  </headerFooter>
</worksheet>
</file>

<file path=xl/worksheets/sheet8.xml><?xml version="1.0" encoding="utf-8"?>
<worksheet xmlns="http://schemas.openxmlformats.org/spreadsheetml/2006/main" xmlns:r="http://schemas.openxmlformats.org/officeDocument/2006/relationships">
  <sheetPr codeName="Sheet9"/>
  <dimension ref="A1:Q51"/>
  <sheetViews>
    <sheetView zoomScalePageLayoutView="0" workbookViewId="0" topLeftCell="A1">
      <pane xSplit="2" ySplit="8" topLeftCell="C9" activePane="bottomRight" state="frozen"/>
      <selection pane="topLeft" activeCell="C9" sqref="C9"/>
      <selection pane="topRight" activeCell="C9" sqref="C9"/>
      <selection pane="bottomLeft" activeCell="C9" sqref="C9"/>
      <selection pane="bottomRight" activeCell="M20" sqref="M20:N20"/>
    </sheetView>
  </sheetViews>
  <sheetFormatPr defaultColWidth="9.140625" defaultRowHeight="12.75"/>
  <cols>
    <col min="1" max="1" width="4.7109375" style="7" hidden="1" customWidth="1"/>
    <col min="2" max="2" width="14.7109375" style="7" customWidth="1"/>
    <col min="3" max="7" width="3.7109375" style="7" customWidth="1"/>
    <col min="8" max="9" width="8.7109375" style="8" customWidth="1"/>
    <col min="10" max="10" width="38.7109375" style="7" customWidth="1"/>
    <col min="11" max="11" width="2.7109375" style="7" hidden="1" customWidth="1"/>
    <col min="12" max="12" width="27.421875" style="9" customWidth="1"/>
    <col min="13" max="13" width="12.140625" style="9" customWidth="1"/>
    <col min="14" max="14" width="12.7109375" style="9" customWidth="1"/>
    <col min="15" max="15" width="12.7109375" style="33" customWidth="1"/>
    <col min="16" max="16" width="11.00390625" style="9" customWidth="1"/>
    <col min="17" max="17" width="12.7109375" style="9" customWidth="1"/>
    <col min="18" max="16384" width="9.140625" style="2" customWidth="1"/>
  </cols>
  <sheetData>
    <row r="1" spans="1:17" ht="17.25" thickBot="1">
      <c r="A1" s="10"/>
      <c r="B1" s="430" t="str">
        <f>'08'!B1</f>
        <v>Agenda</v>
      </c>
      <c r="C1" s="431"/>
      <c r="D1" s="431"/>
      <c r="E1" s="431"/>
      <c r="F1" s="431"/>
      <c r="G1" s="431"/>
      <c r="H1" s="431"/>
      <c r="I1" s="431"/>
      <c r="J1" s="432"/>
      <c r="K1" s="10"/>
      <c r="L1" s="433" t="str">
        <f>'08'!L1</f>
        <v>Monatliche Lohnabrechnung</v>
      </c>
      <c r="M1" s="434"/>
      <c r="N1" s="434"/>
      <c r="O1" s="434"/>
      <c r="P1" s="434"/>
      <c r="Q1" s="435"/>
    </row>
    <row r="2" spans="1:17" ht="17.25" thickBot="1">
      <c r="A2" s="10"/>
      <c r="B2" s="175" t="str">
        <f>'08'!B2</f>
        <v>Lerndende / r</v>
      </c>
      <c r="C2" s="495" t="str">
        <f>"- "&amp;TRIM(DB_Apprenti)&amp;" -"</f>
        <v>-  -</v>
      </c>
      <c r="D2" s="495"/>
      <c r="E2" s="495"/>
      <c r="F2" s="495"/>
      <c r="G2" s="495"/>
      <c r="H2" s="495"/>
      <c r="I2" s="495"/>
      <c r="J2" s="496"/>
      <c r="K2" s="10"/>
      <c r="L2" s="152"/>
      <c r="M2" s="152"/>
      <c r="N2" s="152"/>
      <c r="O2" s="152"/>
      <c r="P2" s="152"/>
      <c r="Q2" s="152"/>
    </row>
    <row r="3" spans="2:17" ht="15" customHeight="1">
      <c r="B3" s="438">
        <f>DATE(DB_Annee+1,1,1)</f>
        <v>43831</v>
      </c>
      <c r="C3" s="507" t="str">
        <f>'08'!C3</f>
        <v>[ a-b-c-d-e-f-g-h-i ]</v>
      </c>
      <c r="D3" s="444" t="str">
        <f>'08'!D3</f>
        <v>Übernachtung</v>
      </c>
      <c r="E3" s="447" t="str">
        <f>'08'!E3</f>
        <v>Morgenessen</v>
      </c>
      <c r="F3" s="447" t="str">
        <f>'08'!F3</f>
        <v>Mittagessen</v>
      </c>
      <c r="G3" s="413" t="str">
        <f>'08'!G3</f>
        <v>Abendessen</v>
      </c>
      <c r="H3" s="418" t="str">
        <f>'08'!H3</f>
        <v>Betrag Naturallohn</v>
      </c>
      <c r="I3" s="522" t="str">
        <f>'08'!I3</f>
        <v>Angepasster Betrag</v>
      </c>
      <c r="J3" s="503" t="str">
        <f>'08'!J3</f>
        <v>Kommentar
a = Arbeitstag
b = Schultag
c = überbetrieblicher Kurs (üK)
d = Freitag
e = Ferientag
f = 1/2 Arbeitstag, 1/2 Freitag
g = Unfall (ganz Tag)
h = Krankheit (ganz Tag)
i = Miltär</v>
      </c>
      <c r="L3" s="36" t="str">
        <f>'08'!L3</f>
        <v>Monat:</v>
      </c>
      <c r="M3" s="436">
        <f>B3</f>
        <v>43831</v>
      </c>
      <c r="N3" s="436"/>
      <c r="O3" s="437" t="str">
        <f>'08'!O3</f>
        <v>Jahr:</v>
      </c>
      <c r="P3" s="437">
        <f>'08'!P3</f>
        <v>0</v>
      </c>
      <c r="Q3" s="176">
        <f>B3</f>
        <v>43831</v>
      </c>
    </row>
    <row r="4" spans="1:17" ht="15">
      <c r="A4" s="10"/>
      <c r="B4" s="439"/>
      <c r="C4" s="508">
        <f>'08'!C4</f>
        <v>0</v>
      </c>
      <c r="D4" s="445">
        <f>'08'!D4</f>
        <v>0</v>
      </c>
      <c r="E4" s="448">
        <f>'08'!E4</f>
        <v>0</v>
      </c>
      <c r="F4" s="448">
        <f>'08'!F4</f>
        <v>0</v>
      </c>
      <c r="G4" s="414">
        <f>'08'!G4</f>
        <v>0</v>
      </c>
      <c r="H4" s="419">
        <f>'08'!H4</f>
        <v>0</v>
      </c>
      <c r="I4" s="523">
        <f>'08'!I4</f>
        <v>0</v>
      </c>
      <c r="J4" s="524">
        <f>'08'!J4</f>
        <v>0</v>
      </c>
      <c r="K4" s="10"/>
      <c r="L4" s="34"/>
      <c r="M4" s="34"/>
      <c r="N4" s="37"/>
      <c r="O4" s="36"/>
      <c r="P4" s="11"/>
      <c r="Q4" s="11"/>
    </row>
    <row r="5" spans="1:17" ht="15">
      <c r="A5" s="10"/>
      <c r="B5" s="439"/>
      <c r="C5" s="508">
        <f>'08'!C5</f>
        <v>0</v>
      </c>
      <c r="D5" s="445">
        <f>'08'!D5</f>
        <v>0</v>
      </c>
      <c r="E5" s="448">
        <f>'08'!E5</f>
        <v>0</v>
      </c>
      <c r="F5" s="448">
        <f>'08'!F5</f>
        <v>0</v>
      </c>
      <c r="G5" s="414">
        <f>'08'!G5</f>
        <v>0</v>
      </c>
      <c r="H5" s="419">
        <f>'08'!H5</f>
        <v>0</v>
      </c>
      <c r="I5" s="523">
        <f>'08'!I5</f>
        <v>0</v>
      </c>
      <c r="J5" s="524">
        <f>'08'!J5</f>
        <v>0</v>
      </c>
      <c r="K5" s="10"/>
      <c r="L5" s="36" t="str">
        <f>'08'!L5</f>
        <v>Berufsbildner</v>
      </c>
      <c r="M5" s="416">
        <f>TRIM(DB_Maitre)</f>
      </c>
      <c r="N5" s="416"/>
      <c r="O5" s="416"/>
      <c r="P5" s="416"/>
      <c r="Q5" s="416"/>
    </row>
    <row r="6" spans="1:17" ht="15">
      <c r="A6" s="10"/>
      <c r="B6" s="439"/>
      <c r="C6" s="508">
        <f>'08'!C6</f>
        <v>0</v>
      </c>
      <c r="D6" s="445">
        <f>'08'!D6</f>
        <v>0</v>
      </c>
      <c r="E6" s="448">
        <f>'08'!E6</f>
        <v>0</v>
      </c>
      <c r="F6" s="448">
        <f>'08'!F6</f>
        <v>0</v>
      </c>
      <c r="G6" s="414">
        <f>'08'!G6</f>
        <v>0</v>
      </c>
      <c r="H6" s="419">
        <f>'08'!H6</f>
        <v>0</v>
      </c>
      <c r="I6" s="523">
        <f>'08'!I6</f>
        <v>0</v>
      </c>
      <c r="J6" s="524">
        <f>'08'!J6</f>
        <v>0</v>
      </c>
      <c r="K6" s="10"/>
      <c r="L6" s="36" t="str">
        <f>'08'!L6</f>
        <v>Ort</v>
      </c>
      <c r="M6" s="417">
        <f>TRIM(DB_MaitreLieu)</f>
      </c>
      <c r="N6" s="417"/>
      <c r="O6" s="417"/>
      <c r="P6" s="417"/>
      <c r="Q6" s="417"/>
    </row>
    <row r="7" spans="1:17" ht="15">
      <c r="A7" s="10"/>
      <c r="B7" s="439"/>
      <c r="C7" s="508">
        <f>'08'!C7</f>
        <v>0</v>
      </c>
      <c r="D7" s="445">
        <f>'08'!D7</f>
        <v>0</v>
      </c>
      <c r="E7" s="448">
        <f>'08'!E7</f>
        <v>0</v>
      </c>
      <c r="F7" s="448">
        <f>'08'!F7</f>
        <v>0</v>
      </c>
      <c r="G7" s="414">
        <f>'08'!G7</f>
        <v>0</v>
      </c>
      <c r="H7" s="419">
        <f>'08'!H7</f>
        <v>0</v>
      </c>
      <c r="I7" s="523">
        <f>'08'!I7</f>
        <v>0</v>
      </c>
      <c r="J7" s="524">
        <f>'08'!J7</f>
        <v>0</v>
      </c>
      <c r="K7" s="10"/>
      <c r="L7" s="36" t="str">
        <f>'08'!L7</f>
        <v>Lernende / r</v>
      </c>
      <c r="M7" s="417">
        <f>TRIM(DB_Apprenti)</f>
      </c>
      <c r="N7" s="417"/>
      <c r="O7" s="417"/>
      <c r="P7" s="417"/>
      <c r="Q7" s="417"/>
    </row>
    <row r="8" spans="2:17" ht="15.75" thickBot="1">
      <c r="B8" s="440"/>
      <c r="C8" s="509">
        <f>'08'!C8</f>
        <v>0</v>
      </c>
      <c r="D8" s="446">
        <f>'08'!D8</f>
        <v>0</v>
      </c>
      <c r="E8" s="449">
        <f>'08'!E8</f>
        <v>0</v>
      </c>
      <c r="F8" s="449">
        <f>'08'!F8</f>
        <v>0</v>
      </c>
      <c r="G8" s="415">
        <f>'08'!G8</f>
        <v>0</v>
      </c>
      <c r="H8" s="420">
        <f>'08'!H8</f>
        <v>0</v>
      </c>
      <c r="I8" s="423">
        <f>'08'!I8</f>
        <v>0</v>
      </c>
      <c r="J8" s="525">
        <f>'08'!J8</f>
        <v>0</v>
      </c>
      <c r="L8" s="36" t="str">
        <f>'08'!L8</f>
        <v>AHV-Nummer</v>
      </c>
      <c r="M8" s="417">
        <f>TRIM(DB_AVS)</f>
      </c>
      <c r="N8" s="417"/>
      <c r="P8" s="3" t="str">
        <f>'08'!P8</f>
        <v>Geburtsdatum</v>
      </c>
      <c r="Q8" s="42">
        <f>IF(DB_DateNaissance=0,"",DB_DateNaissance)</f>
      </c>
    </row>
    <row r="9" spans="2:11" ht="15">
      <c r="B9" s="87">
        <f>B3</f>
        <v>43831</v>
      </c>
      <c r="C9" s="154"/>
      <c r="D9" s="359"/>
      <c r="E9" s="268"/>
      <c r="F9" s="268"/>
      <c r="G9" s="269"/>
      <c r="H9" s="12">
        <f aca="true" t="shared" si="0" ref="H9:H39">MAX(IF(C9="a",PN_Travail,IF(C9="b",PN_CoursProf,IF(C9="c",PN_CoursIE,IF(C9="d",PN_Conge,0)))),IF(C9="e",PN_Vacances,IF(C9="f",PN_DemiJour,IF(C9="g",PN_Accident,IF(C9="h",PN_Maladie,IF(C9="i",PN_Armee,0))))))</f>
        <v>0</v>
      </c>
      <c r="I9" s="13">
        <f aca="true" t="shared" si="1" ref="I9:I39">H9+D9*PN_Logis_Plus+E9*PN_Dejeuner_Plus+F9*PN_Diner_Plus+G9*PN_Souper_Plus</f>
        <v>0</v>
      </c>
      <c r="J9" s="161"/>
      <c r="K9" s="14"/>
    </row>
    <row r="10" spans="2:10" ht="15">
      <c r="B10" s="15">
        <f>B9+1</f>
        <v>43832</v>
      </c>
      <c r="C10" s="154"/>
      <c r="D10" s="359"/>
      <c r="E10" s="268"/>
      <c r="F10" s="268"/>
      <c r="G10" s="269"/>
      <c r="H10" s="12">
        <f t="shared" si="0"/>
        <v>0</v>
      </c>
      <c r="I10" s="13">
        <f t="shared" si="1"/>
        <v>0</v>
      </c>
      <c r="J10" s="190"/>
    </row>
    <row r="11" spans="1:17" ht="15">
      <c r="A11" s="163">
        <v>230</v>
      </c>
      <c r="B11" s="15">
        <f aca="true" t="shared" si="2" ref="B11:B39">B10+1</f>
        <v>43833</v>
      </c>
      <c r="C11" s="154"/>
      <c r="D11" s="359"/>
      <c r="E11" s="268"/>
      <c r="F11" s="268"/>
      <c r="G11" s="269"/>
      <c r="H11" s="12">
        <f t="shared" si="0"/>
        <v>0</v>
      </c>
      <c r="I11" s="13">
        <f t="shared" si="1"/>
        <v>0</v>
      </c>
      <c r="J11" s="190"/>
      <c r="L11" s="39" t="str">
        <f>'08'!L11</f>
        <v>Bruttolohn  </v>
      </c>
      <c r="M11" s="34" t="e">
        <f>IF(PN_EffMoy=0,SUBSTITUTE(VLOOKUP(A11+1,Tb_Traduction,DB_Langue,FALSE),"***",TEXT(J40,"0.00")),"")</f>
        <v>#N/A</v>
      </c>
      <c r="N11" s="34"/>
      <c r="O11" s="38"/>
      <c r="P11" s="45"/>
      <c r="Q11" s="49" t="e">
        <f>IF(OR(PN_EffMoy=0,Nb_Mois&lt;&gt;12),Sa_BaseMensuelArrondi/H42*C40,Sa_BaseMensuelArrondi)</f>
        <v>#N/A</v>
      </c>
    </row>
    <row r="12" spans="2:17" ht="15">
      <c r="B12" s="15">
        <f t="shared" si="2"/>
        <v>43834</v>
      </c>
      <c r="C12" s="154"/>
      <c r="D12" s="359"/>
      <c r="E12" s="268"/>
      <c r="F12" s="268"/>
      <c r="G12" s="269"/>
      <c r="H12" s="12">
        <f t="shared" si="0"/>
        <v>0</v>
      </c>
      <c r="I12" s="13">
        <f t="shared" si="1"/>
        <v>0</v>
      </c>
      <c r="J12" s="190"/>
      <c r="L12" s="9" t="str">
        <f>'08'!L12</f>
        <v>Prämie, Bonus, Gratifikation</v>
      </c>
      <c r="Q12" s="155"/>
    </row>
    <row r="13" spans="2:17" ht="15">
      <c r="B13" s="15">
        <f t="shared" si="2"/>
        <v>43835</v>
      </c>
      <c r="C13" s="154"/>
      <c r="D13" s="359"/>
      <c r="E13" s="268"/>
      <c r="F13" s="268"/>
      <c r="G13" s="269"/>
      <c r="H13" s="12">
        <f t="shared" si="0"/>
        <v>0</v>
      </c>
      <c r="I13" s="13">
        <f t="shared" si="1"/>
        <v>0</v>
      </c>
      <c r="J13" s="190"/>
      <c r="L13" s="88" t="str">
        <f>'08'!L13</f>
        <v>Bruttolohn total</v>
      </c>
      <c r="Q13" s="89" t="e">
        <f>SUM(Q11:Q12)</f>
        <v>#N/A</v>
      </c>
    </row>
    <row r="14" spans="2:10" ht="15">
      <c r="B14" s="15">
        <f t="shared" si="2"/>
        <v>43836</v>
      </c>
      <c r="C14" s="154"/>
      <c r="D14" s="359"/>
      <c r="E14" s="268"/>
      <c r="F14" s="268"/>
      <c r="G14" s="269"/>
      <c r="H14" s="12">
        <f t="shared" si="0"/>
        <v>0</v>
      </c>
      <c r="I14" s="13">
        <f t="shared" si="1"/>
        <v>0</v>
      </c>
      <c r="J14" s="190"/>
    </row>
    <row r="15" spans="2:17" ht="15">
      <c r="B15" s="15">
        <f t="shared" si="2"/>
        <v>43837</v>
      </c>
      <c r="C15" s="154"/>
      <c r="D15" s="359"/>
      <c r="E15" s="268"/>
      <c r="F15" s="268"/>
      <c r="G15" s="269"/>
      <c r="H15" s="12">
        <f t="shared" si="0"/>
        <v>0</v>
      </c>
      <c r="I15" s="13">
        <f t="shared" si="1"/>
        <v>0</v>
      </c>
      <c r="J15" s="190"/>
      <c r="L15" s="39" t="str">
        <f>'08'!L15</f>
        <v>Abzüge</v>
      </c>
      <c r="M15" s="11" t="str">
        <f>'08'!M15</f>
        <v>Anteil</v>
      </c>
      <c r="N15" s="11" t="s">
        <v>37</v>
      </c>
      <c r="O15" s="38"/>
      <c r="P15" s="45"/>
      <c r="Q15" s="46"/>
    </row>
    <row r="16" spans="2:17" ht="15">
      <c r="B16" s="15">
        <f t="shared" si="2"/>
        <v>43838</v>
      </c>
      <c r="C16" s="154"/>
      <c r="D16" s="359"/>
      <c r="E16" s="268"/>
      <c r="F16" s="268"/>
      <c r="G16" s="269"/>
      <c r="H16" s="12">
        <f t="shared" si="0"/>
        <v>0</v>
      </c>
      <c r="I16" s="13">
        <f t="shared" si="1"/>
        <v>0</v>
      </c>
      <c r="J16" s="190"/>
      <c r="L16" s="48" t="str">
        <f>'08'!L16</f>
        <v>Beiträge AHV, IV, EO*:</v>
      </c>
      <c r="M16" s="43" t="s">
        <v>50</v>
      </c>
      <c r="N16" s="44">
        <f>IF(B3&gt;=DB_SoumisAVS,RS_AVS_Plus,0)</f>
        <v>0.05125</v>
      </c>
      <c r="O16" s="38"/>
      <c r="P16" s="50" t="e">
        <f>$Q$13*N16</f>
        <v>#N/A</v>
      </c>
      <c r="Q16" s="46"/>
    </row>
    <row r="17" spans="2:17" ht="15">
      <c r="B17" s="15">
        <f t="shared" si="2"/>
        <v>43839</v>
      </c>
      <c r="C17" s="154"/>
      <c r="D17" s="359"/>
      <c r="E17" s="268"/>
      <c r="F17" s="268"/>
      <c r="G17" s="269"/>
      <c r="H17" s="12">
        <f t="shared" si="0"/>
        <v>0</v>
      </c>
      <c r="I17" s="13">
        <f t="shared" si="1"/>
        <v>0</v>
      </c>
      <c r="J17" s="190"/>
      <c r="L17" s="48" t="str">
        <f>'08'!L17</f>
        <v>Beiträge ALV*:</v>
      </c>
      <c r="M17" s="43" t="s">
        <v>50</v>
      </c>
      <c r="N17" s="44">
        <f>IF(B3&gt;=DB_SoumisAVS,RS_AC_Plus,0)</f>
        <v>0.011</v>
      </c>
      <c r="O17" s="38"/>
      <c r="P17" s="50" t="e">
        <f>$Q$13*N17</f>
        <v>#N/A</v>
      </c>
      <c r="Q17" s="46"/>
    </row>
    <row r="18" spans="2:17" ht="15">
      <c r="B18" s="15">
        <f t="shared" si="2"/>
        <v>43840</v>
      </c>
      <c r="C18" s="154"/>
      <c r="D18" s="359"/>
      <c r="E18" s="268"/>
      <c r="F18" s="268"/>
      <c r="G18" s="269"/>
      <c r="H18" s="12">
        <f t="shared" si="0"/>
        <v>0</v>
      </c>
      <c r="I18" s="13">
        <f t="shared" si="1"/>
        <v>0</v>
      </c>
      <c r="J18" s="190"/>
      <c r="L18" s="48" t="str">
        <f>'08'!L18</f>
        <v>Nichtbetriebsunfall:</v>
      </c>
      <c r="M18" s="43" t="s">
        <v>244</v>
      </c>
      <c r="N18" s="44">
        <f>RS_ANP_Plus</f>
        <v>0.01641</v>
      </c>
      <c r="O18" s="38"/>
      <c r="P18" s="51" t="e">
        <f>$Q$13*N18</f>
        <v>#N/A</v>
      </c>
      <c r="Q18" s="46"/>
    </row>
    <row r="19" spans="2:17" ht="15">
      <c r="B19" s="15">
        <f t="shared" si="2"/>
        <v>43841</v>
      </c>
      <c r="C19" s="154"/>
      <c r="D19" s="359"/>
      <c r="E19" s="268"/>
      <c r="F19" s="268"/>
      <c r="G19" s="269"/>
      <c r="H19" s="12">
        <f t="shared" si="0"/>
        <v>0</v>
      </c>
      <c r="I19" s="13">
        <f t="shared" si="1"/>
        <v>0</v>
      </c>
      <c r="J19" s="190"/>
      <c r="L19" s="48" t="str">
        <f>'08'!L19</f>
        <v>Krankentaggeld:</v>
      </c>
      <c r="M19" s="43" t="s">
        <v>50</v>
      </c>
      <c r="N19" s="44">
        <f>RS_MC_Plus</f>
        <v>0.0044</v>
      </c>
      <c r="O19" s="38"/>
      <c r="P19" s="50" t="e">
        <f>$Q$13*N19</f>
        <v>#N/A</v>
      </c>
      <c r="Q19" s="46"/>
    </row>
    <row r="20" spans="2:16" ht="15">
      <c r="B20" s="15">
        <f t="shared" si="2"/>
        <v>43842</v>
      </c>
      <c r="C20" s="154"/>
      <c r="D20" s="359"/>
      <c r="E20" s="268"/>
      <c r="F20" s="268"/>
      <c r="G20" s="269"/>
      <c r="H20" s="12">
        <f t="shared" si="0"/>
        <v>0</v>
      </c>
      <c r="I20" s="13">
        <f t="shared" si="1"/>
        <v>0</v>
      </c>
      <c r="J20" s="190"/>
      <c r="L20" s="48" t="str">
        <f>'08'!L20</f>
        <v>Anderer Abzug:</v>
      </c>
      <c r="M20" s="511"/>
      <c r="N20" s="511"/>
      <c r="O20" s="38"/>
      <c r="P20" s="160"/>
    </row>
    <row r="21" spans="2:16" ht="15">
      <c r="B21" s="15">
        <f t="shared" si="2"/>
        <v>43843</v>
      </c>
      <c r="C21" s="154"/>
      <c r="D21" s="359"/>
      <c r="E21" s="268"/>
      <c r="F21" s="268"/>
      <c r="G21" s="269"/>
      <c r="H21" s="12">
        <f t="shared" si="0"/>
        <v>0</v>
      </c>
      <c r="I21" s="13">
        <f t="shared" si="1"/>
        <v>0</v>
      </c>
      <c r="J21" s="190"/>
      <c r="L21" s="38" t="e">
        <f>'08'!L21</f>
        <v>#N/A</v>
      </c>
      <c r="M21" s="34"/>
      <c r="N21" s="34"/>
      <c r="O21" s="38"/>
      <c r="P21" s="50" t="e">
        <f>IF(PN_EffMoy=0,I40,IF(Nb_Mois=12,Sa_NatureMensuelArrondi,Sa_NatureMensuelArrondi*C40/H42))</f>
        <v>#N/A</v>
      </c>
    </row>
    <row r="22" spans="2:16" ht="15">
      <c r="B22" s="15">
        <f t="shared" si="2"/>
        <v>43844</v>
      </c>
      <c r="C22" s="154"/>
      <c r="D22" s="359"/>
      <c r="E22" s="268"/>
      <c r="F22" s="268"/>
      <c r="G22" s="269"/>
      <c r="H22" s="12">
        <f t="shared" si="0"/>
        <v>0</v>
      </c>
      <c r="I22" s="13">
        <f t="shared" si="1"/>
        <v>0</v>
      </c>
      <c r="J22" s="190"/>
      <c r="L22" s="41" t="str">
        <f>'08'!L22</f>
        <v>*) sofern pflichtig</v>
      </c>
      <c r="P22" s="47"/>
    </row>
    <row r="23" spans="2:17" ht="15">
      <c r="B23" s="15">
        <f t="shared" si="2"/>
        <v>43845</v>
      </c>
      <c r="C23" s="154"/>
      <c r="D23" s="359"/>
      <c r="E23" s="268"/>
      <c r="F23" s="268"/>
      <c r="G23" s="269"/>
      <c r="H23" s="12">
        <f t="shared" si="0"/>
        <v>0</v>
      </c>
      <c r="I23" s="13">
        <f t="shared" si="1"/>
        <v>0</v>
      </c>
      <c r="J23" s="190"/>
      <c r="Q23" s="46"/>
    </row>
    <row r="24" spans="2:17" ht="15">
      <c r="B24" s="15">
        <f t="shared" si="2"/>
        <v>43846</v>
      </c>
      <c r="C24" s="154"/>
      <c r="D24" s="359"/>
      <c r="E24" s="268"/>
      <c r="F24" s="268"/>
      <c r="G24" s="269"/>
      <c r="H24" s="12">
        <f t="shared" si="0"/>
        <v>0</v>
      </c>
      <c r="I24" s="13">
        <f t="shared" si="1"/>
        <v>0</v>
      </c>
      <c r="J24" s="190"/>
      <c r="L24" s="39" t="str">
        <f>'08'!L24</f>
        <v>Total Abzüge</v>
      </c>
      <c r="Q24" s="49" t="e">
        <f>INT((SUM(P16:P21)*20)+0.5)/20</f>
        <v>#N/A</v>
      </c>
    </row>
    <row r="25" spans="2:17" ht="15">
      <c r="B25" s="15">
        <f t="shared" si="2"/>
        <v>43847</v>
      </c>
      <c r="C25" s="154"/>
      <c r="D25" s="359"/>
      <c r="E25" s="268"/>
      <c r="F25" s="268"/>
      <c r="G25" s="269"/>
      <c r="H25" s="12">
        <f t="shared" si="0"/>
        <v>0</v>
      </c>
      <c r="I25" s="13">
        <f t="shared" si="1"/>
        <v>0</v>
      </c>
      <c r="J25" s="190"/>
      <c r="Q25" s="47"/>
    </row>
    <row r="26" spans="2:17" ht="15">
      <c r="B26" s="15">
        <f t="shared" si="2"/>
        <v>43848</v>
      </c>
      <c r="C26" s="154"/>
      <c r="D26" s="359"/>
      <c r="E26" s="268"/>
      <c r="F26" s="268"/>
      <c r="G26" s="269"/>
      <c r="H26" s="12">
        <f t="shared" si="0"/>
        <v>0</v>
      </c>
      <c r="I26" s="13">
        <f t="shared" si="1"/>
        <v>0</v>
      </c>
      <c r="J26" s="190"/>
      <c r="L26" s="39" t="str">
        <f>'08'!L26</f>
        <v>Rückvergügungen</v>
      </c>
      <c r="M26" s="34"/>
      <c r="N26" s="34"/>
      <c r="O26" s="38"/>
      <c r="P26" s="45"/>
      <c r="Q26" s="46"/>
    </row>
    <row r="27" spans="2:17" ht="15">
      <c r="B27" s="15">
        <f t="shared" si="2"/>
        <v>43849</v>
      </c>
      <c r="C27" s="154"/>
      <c r="D27" s="359"/>
      <c r="E27" s="268"/>
      <c r="F27" s="268"/>
      <c r="G27" s="269"/>
      <c r="H27" s="12">
        <f t="shared" si="0"/>
        <v>0</v>
      </c>
      <c r="I27" s="13">
        <f t="shared" si="1"/>
        <v>0</v>
      </c>
      <c r="J27" s="190"/>
      <c r="L27" s="38" t="str">
        <f>'08'!L27</f>
        <v>Kostenbeteiligungen</v>
      </c>
      <c r="M27" s="511"/>
      <c r="N27" s="511"/>
      <c r="O27" s="38"/>
      <c r="P27" s="159"/>
      <c r="Q27" s="46"/>
    </row>
    <row r="28" spans="2:17" ht="15">
      <c r="B28" s="15">
        <f t="shared" si="2"/>
        <v>43850</v>
      </c>
      <c r="C28" s="154"/>
      <c r="D28" s="359"/>
      <c r="E28" s="268"/>
      <c r="F28" s="268"/>
      <c r="G28" s="269"/>
      <c r="H28" s="12">
        <f t="shared" si="0"/>
        <v>0</v>
      </c>
      <c r="I28" s="13">
        <f t="shared" si="1"/>
        <v>0</v>
      </c>
      <c r="J28" s="190"/>
      <c r="L28" s="38" t="str">
        <f>'08'!L28</f>
        <v>Übrige Rückvergütungen</v>
      </c>
      <c r="M28" s="512"/>
      <c r="N28" s="512"/>
      <c r="O28" s="38"/>
      <c r="P28" s="160"/>
      <c r="Q28" s="46"/>
    </row>
    <row r="29" spans="2:10" ht="15">
      <c r="B29" s="15">
        <f t="shared" si="2"/>
        <v>43851</v>
      </c>
      <c r="C29" s="154"/>
      <c r="D29" s="359"/>
      <c r="E29" s="268"/>
      <c r="F29" s="268"/>
      <c r="G29" s="269"/>
      <c r="H29" s="12">
        <f t="shared" si="0"/>
        <v>0</v>
      </c>
      <c r="I29" s="13">
        <f t="shared" si="1"/>
        <v>0</v>
      </c>
      <c r="J29" s="190"/>
    </row>
    <row r="30" spans="2:17" ht="15">
      <c r="B30" s="15">
        <f t="shared" si="2"/>
        <v>43852</v>
      </c>
      <c r="C30" s="154"/>
      <c r="D30" s="359"/>
      <c r="E30" s="268"/>
      <c r="F30" s="268"/>
      <c r="G30" s="269"/>
      <c r="H30" s="12">
        <f t="shared" si="0"/>
        <v>0</v>
      </c>
      <c r="I30" s="13">
        <f t="shared" si="1"/>
        <v>0</v>
      </c>
      <c r="J30" s="190"/>
      <c r="L30" s="39" t="str">
        <f>'08'!L30</f>
        <v>Zuschläge</v>
      </c>
      <c r="M30" s="34"/>
      <c r="N30" s="34"/>
      <c r="O30" s="38"/>
      <c r="P30" s="45"/>
      <c r="Q30" s="52">
        <f>SUM(P27:P28)</f>
        <v>0</v>
      </c>
    </row>
    <row r="31" spans="2:17" ht="15">
      <c r="B31" s="15">
        <f t="shared" si="2"/>
        <v>43853</v>
      </c>
      <c r="C31" s="154"/>
      <c r="D31" s="359"/>
      <c r="E31" s="268"/>
      <c r="F31" s="268"/>
      <c r="G31" s="269"/>
      <c r="H31" s="12">
        <f t="shared" si="0"/>
        <v>0</v>
      </c>
      <c r="I31" s="13">
        <f t="shared" si="1"/>
        <v>0</v>
      </c>
      <c r="J31" s="190"/>
      <c r="L31" s="34"/>
      <c r="M31" s="34"/>
      <c r="N31" s="34"/>
      <c r="O31" s="38"/>
      <c r="P31" s="45"/>
      <c r="Q31" s="46"/>
    </row>
    <row r="32" spans="2:17" ht="15">
      <c r="B32" s="15">
        <f t="shared" si="2"/>
        <v>43854</v>
      </c>
      <c r="C32" s="154"/>
      <c r="D32" s="359"/>
      <c r="E32" s="268"/>
      <c r="F32" s="268"/>
      <c r="G32" s="269"/>
      <c r="H32" s="12">
        <f t="shared" si="0"/>
        <v>0</v>
      </c>
      <c r="I32" s="13">
        <f t="shared" si="1"/>
        <v>0</v>
      </c>
      <c r="J32" s="190"/>
      <c r="L32" s="39" t="str">
        <f>'08'!L32</f>
        <v>Netto-Auszahlung</v>
      </c>
      <c r="M32" s="34"/>
      <c r="N32" s="34"/>
      <c r="O32" s="38"/>
      <c r="P32" s="45"/>
      <c r="Q32" s="53" t="e">
        <f>Q13+Q30-Q24</f>
        <v>#N/A</v>
      </c>
    </row>
    <row r="33" spans="2:17" ht="15">
      <c r="B33" s="15">
        <f t="shared" si="2"/>
        <v>43855</v>
      </c>
      <c r="C33" s="154"/>
      <c r="D33" s="359"/>
      <c r="E33" s="268"/>
      <c r="F33" s="268"/>
      <c r="G33" s="269"/>
      <c r="H33" s="12">
        <f t="shared" si="0"/>
        <v>0</v>
      </c>
      <c r="I33" s="13">
        <f t="shared" si="1"/>
        <v>0</v>
      </c>
      <c r="J33" s="190"/>
      <c r="L33" s="34"/>
      <c r="M33" s="386" t="str">
        <f>'08'!M33</f>
        <v>aktueller
Monat</v>
      </c>
      <c r="N33" s="386" t="str">
        <f>'08'!N33</f>
        <v>Summe der
Vormonate</v>
      </c>
      <c r="O33" s="386" t="str">
        <f>'08'!O33</f>
        <v>Jahresvor-
anschlag:</v>
      </c>
      <c r="P33" s="510"/>
      <c r="Q33" s="386" t="str">
        <f>'08'!Q33</f>
        <v>Aktueller
Saldo</v>
      </c>
    </row>
    <row r="34" spans="2:17" ht="15">
      <c r="B34" s="15">
        <f t="shared" si="2"/>
        <v>43856</v>
      </c>
      <c r="C34" s="154"/>
      <c r="D34" s="359"/>
      <c r="E34" s="268"/>
      <c r="F34" s="268"/>
      <c r="G34" s="269"/>
      <c r="H34" s="12">
        <f t="shared" si="0"/>
        <v>0</v>
      </c>
      <c r="I34" s="13">
        <f t="shared" si="1"/>
        <v>0</v>
      </c>
      <c r="J34" s="190"/>
      <c r="L34" s="56" t="str">
        <f>'08'!L34</f>
        <v>Tagesabrechnung</v>
      </c>
      <c r="M34" s="387">
        <f>'08'!M34</f>
        <v>0</v>
      </c>
      <c r="N34" s="387">
        <f>'08'!N34</f>
        <v>0</v>
      </c>
      <c r="O34" s="387">
        <f>'08'!O34</f>
        <v>0</v>
      </c>
      <c r="P34" s="510"/>
      <c r="Q34" s="387">
        <f>'08'!Q34</f>
        <v>0</v>
      </c>
    </row>
    <row r="35" spans="2:17" ht="15">
      <c r="B35" s="15">
        <f t="shared" si="2"/>
        <v>43857</v>
      </c>
      <c r="C35" s="154"/>
      <c r="D35" s="359"/>
      <c r="E35" s="268"/>
      <c r="F35" s="268"/>
      <c r="G35" s="269"/>
      <c r="H35" s="12">
        <f t="shared" si="0"/>
        <v>0</v>
      </c>
      <c r="I35" s="13">
        <f t="shared" si="1"/>
        <v>0</v>
      </c>
      <c r="J35" s="190"/>
      <c r="L35" s="287" t="str">
        <f>'08'!L35</f>
        <v>Arbeit:</v>
      </c>
      <c r="M35" s="262">
        <f aca="true" t="shared" si="3" ref="M35:N38">H43</f>
        <v>0</v>
      </c>
      <c r="N35" s="262">
        <f t="shared" si="3"/>
        <v>0</v>
      </c>
      <c r="O35" s="262" t="e">
        <f>NJ_Travail</f>
        <v>#N/A</v>
      </c>
      <c r="Q35" s="263" t="e">
        <f aca="true" t="shared" si="4" ref="Q35:Q42">O35-N35-M35</f>
        <v>#N/A</v>
      </c>
    </row>
    <row r="36" spans="2:17" ht="15">
      <c r="B36" s="15">
        <f t="shared" si="2"/>
        <v>43858</v>
      </c>
      <c r="C36" s="154"/>
      <c r="D36" s="359"/>
      <c r="E36" s="268"/>
      <c r="F36" s="268"/>
      <c r="G36" s="269"/>
      <c r="H36" s="12">
        <f t="shared" si="0"/>
        <v>0</v>
      </c>
      <c r="I36" s="13">
        <f t="shared" si="1"/>
        <v>0</v>
      </c>
      <c r="J36" s="190"/>
      <c r="L36" s="287" t="str">
        <f>'08'!L36</f>
        <v>Schultage:</v>
      </c>
      <c r="M36" s="178">
        <f t="shared" si="3"/>
        <v>0</v>
      </c>
      <c r="N36" s="178">
        <f t="shared" si="3"/>
        <v>0</v>
      </c>
      <c r="O36" s="178" t="e">
        <f>NJ_CoursProf</f>
        <v>#N/A</v>
      </c>
      <c r="Q36" s="179" t="e">
        <f t="shared" si="4"/>
        <v>#N/A</v>
      </c>
    </row>
    <row r="37" spans="2:17" ht="15">
      <c r="B37" s="15">
        <f t="shared" si="2"/>
        <v>43859</v>
      </c>
      <c r="C37" s="154"/>
      <c r="D37" s="359"/>
      <c r="E37" s="268"/>
      <c r="F37" s="268"/>
      <c r="G37" s="269"/>
      <c r="H37" s="12">
        <f t="shared" si="0"/>
        <v>0</v>
      </c>
      <c r="I37" s="13">
        <f t="shared" si="1"/>
        <v>0</v>
      </c>
      <c r="J37" s="190"/>
      <c r="L37" s="287" t="str">
        <f>'08'!L37</f>
        <v>üK:</v>
      </c>
      <c r="M37" s="178">
        <f t="shared" si="3"/>
        <v>0</v>
      </c>
      <c r="N37" s="178">
        <f t="shared" si="3"/>
        <v>0</v>
      </c>
      <c r="O37" s="178" t="e">
        <f>NJ_CoursIE</f>
        <v>#N/A</v>
      </c>
      <c r="Q37" s="179" t="e">
        <f t="shared" si="4"/>
        <v>#N/A</v>
      </c>
    </row>
    <row r="38" spans="2:17" ht="15">
      <c r="B38" s="15">
        <f t="shared" si="2"/>
        <v>43860</v>
      </c>
      <c r="C38" s="154"/>
      <c r="D38" s="359"/>
      <c r="E38" s="268"/>
      <c r="F38" s="268"/>
      <c r="G38" s="269"/>
      <c r="H38" s="12">
        <f t="shared" si="0"/>
        <v>0</v>
      </c>
      <c r="I38" s="13">
        <f t="shared" si="1"/>
        <v>0</v>
      </c>
      <c r="J38" s="190"/>
      <c r="L38" s="287" t="str">
        <f>'08'!L38</f>
        <v>Militär:</v>
      </c>
      <c r="M38" s="178">
        <f t="shared" si="3"/>
        <v>0</v>
      </c>
      <c r="N38" s="178">
        <f t="shared" si="3"/>
        <v>0</v>
      </c>
      <c r="O38" s="178">
        <f>NJ_Bloc</f>
        <v>0</v>
      </c>
      <c r="Q38" s="179">
        <f t="shared" si="4"/>
        <v>0</v>
      </c>
    </row>
    <row r="39" spans="2:17" ht="15.75" thickBot="1">
      <c r="B39" s="58">
        <f t="shared" si="2"/>
        <v>43861</v>
      </c>
      <c r="C39" s="154"/>
      <c r="D39" s="359"/>
      <c r="E39" s="268"/>
      <c r="F39" s="268"/>
      <c r="G39" s="269"/>
      <c r="H39" s="12">
        <f t="shared" si="0"/>
        <v>0</v>
      </c>
      <c r="I39" s="13">
        <f t="shared" si="1"/>
        <v>0</v>
      </c>
      <c r="J39" s="191"/>
      <c r="L39" s="287" t="str">
        <f>'08'!L39</f>
        <v>Frei:</v>
      </c>
      <c r="M39" s="262">
        <f aca="true" t="shared" si="5" ref="M39:N42">H47</f>
        <v>0</v>
      </c>
      <c r="N39" s="262">
        <f t="shared" si="5"/>
        <v>0</v>
      </c>
      <c r="O39" s="262" t="e">
        <f>NJ_Conge</f>
        <v>#N/A</v>
      </c>
      <c r="Q39" s="263" t="e">
        <f t="shared" si="4"/>
        <v>#N/A</v>
      </c>
    </row>
    <row r="40" spans="2:17" ht="15.75" thickBot="1">
      <c r="B40" s="335" t="str">
        <f>'08'!B40</f>
        <v>Total</v>
      </c>
      <c r="C40" s="336">
        <f>COUNTIF(C9:C39,"a")+COUNTIF(C9:C39,"b")+COUNTIF(C9:C39,"c")+COUNTIF(C9:C39,"d")+COUNTIF(C9:C39,"e")+COUNTIF(C9:C39,"f")+COUNTIF(C9:C39,"g")+COUNTIF(C9:C39,"h")+COUNTIF(C9:C39,"i")</f>
        <v>0</v>
      </c>
      <c r="D40" s="17">
        <f aca="true" t="shared" si="6" ref="D40:I40">SUM(D9:D39)</f>
        <v>0</v>
      </c>
      <c r="E40" s="18">
        <f t="shared" si="6"/>
        <v>0</v>
      </c>
      <c r="F40" s="18">
        <f t="shared" si="6"/>
        <v>0</v>
      </c>
      <c r="G40" s="19">
        <f t="shared" si="6"/>
        <v>0</v>
      </c>
      <c r="H40" s="20">
        <f t="shared" si="6"/>
        <v>0</v>
      </c>
      <c r="I40" s="21">
        <f t="shared" si="6"/>
        <v>0</v>
      </c>
      <c r="J40" s="337" t="e">
        <f>INT(((Sa_NatureMensuel/H42*C40)*20)+0.5)/20</f>
        <v>#N/A</v>
      </c>
      <c r="L40" s="288" t="str">
        <f>'08'!L40</f>
        <v>Ferien:</v>
      </c>
      <c r="M40" s="289">
        <f t="shared" si="5"/>
        <v>0</v>
      </c>
      <c r="N40" s="289">
        <f t="shared" si="5"/>
        <v>0</v>
      </c>
      <c r="O40" s="289" t="e">
        <f>NJ_Vacances</f>
        <v>#N/A</v>
      </c>
      <c r="Q40" s="290" t="e">
        <f t="shared" si="4"/>
        <v>#N/A</v>
      </c>
    </row>
    <row r="41" spans="2:17" ht="15.75" thickBot="1">
      <c r="B41" s="452"/>
      <c r="C41" s="453"/>
      <c r="D41" s="453"/>
      <c r="E41" s="453"/>
      <c r="F41" s="453"/>
      <c r="G41" s="506"/>
      <c r="H41" s="286">
        <f>B3</f>
        <v>43831</v>
      </c>
      <c r="I41" s="22" t="str">
        <f>'08'!I41</f>
        <v>Total</v>
      </c>
      <c r="J41" s="23"/>
      <c r="L41" s="288" t="str">
        <f>'08'!L41</f>
        <v>Unfall:</v>
      </c>
      <c r="M41" s="289">
        <f t="shared" si="5"/>
        <v>0</v>
      </c>
      <c r="N41" s="289">
        <f t="shared" si="5"/>
        <v>0</v>
      </c>
      <c r="O41" s="289">
        <v>0</v>
      </c>
      <c r="Q41" s="290">
        <f t="shared" si="4"/>
        <v>0</v>
      </c>
    </row>
    <row r="42" spans="2:17" ht="15">
      <c r="B42" s="408" t="str">
        <f>'08'!B42</f>
        <v>Tagesabrechnung</v>
      </c>
      <c r="C42" s="409" t="e">
        <f>'08'!C42</f>
        <v>#N/A</v>
      </c>
      <c r="D42" s="409" t="e">
        <f>'08'!D42</f>
        <v>#REF!</v>
      </c>
      <c r="E42" s="409" t="e">
        <f>'08'!E42</f>
        <v>#REF!</v>
      </c>
      <c r="F42" s="409" t="e">
        <f>'08'!F42</f>
        <v>#REF!</v>
      </c>
      <c r="G42" s="410" t="e">
        <f>'08'!G42</f>
        <v>#REF!</v>
      </c>
      <c r="H42" s="24">
        <v>31</v>
      </c>
      <c r="I42" s="25">
        <f>SUM('12'!H42:I42)</f>
        <v>153</v>
      </c>
      <c r="J42" s="26"/>
      <c r="L42" s="287" t="str">
        <f>'08'!L42</f>
        <v>Krankheit:</v>
      </c>
      <c r="M42" s="178">
        <f t="shared" si="5"/>
        <v>0</v>
      </c>
      <c r="N42" s="178">
        <f t="shared" si="5"/>
        <v>0</v>
      </c>
      <c r="O42" s="178">
        <v>0</v>
      </c>
      <c r="Q42" s="179">
        <f t="shared" si="4"/>
        <v>0</v>
      </c>
    </row>
    <row r="43" spans="2:10" ht="15">
      <c r="B43" s="402" t="str">
        <f>'08'!B43</f>
        <v>Arbeitstage ( a )</v>
      </c>
      <c r="C43" s="403" t="e">
        <f>'08'!C43</f>
        <v>#N/A</v>
      </c>
      <c r="D43" s="403" t="e">
        <f>'08'!D43</f>
        <v>#REF!</v>
      </c>
      <c r="E43" s="403" t="e">
        <f>'08'!E43</f>
        <v>#REF!</v>
      </c>
      <c r="F43" s="403" t="e">
        <f>'08'!F43</f>
        <v>#REF!</v>
      </c>
      <c r="G43" s="404" t="e">
        <f>'08'!G43</f>
        <v>#REF!</v>
      </c>
      <c r="H43" s="27">
        <f>COUNTIF(C9:C39,"a")+COUNTIF(C9:C39,"f")/2</f>
        <v>0</v>
      </c>
      <c r="I43" s="28">
        <f>SUM('12'!H43:I43)</f>
        <v>0</v>
      </c>
      <c r="J43" s="29"/>
    </row>
    <row r="44" spans="2:17" ht="15">
      <c r="B44" s="402" t="str">
        <f>'08'!B44</f>
        <v>Schultage ( b )</v>
      </c>
      <c r="C44" s="403" t="e">
        <f>'08'!C44</f>
        <v>#N/A</v>
      </c>
      <c r="D44" s="403" t="e">
        <f>'08'!D44</f>
        <v>#REF!</v>
      </c>
      <c r="E44" s="403" t="e">
        <f>'08'!E44</f>
        <v>#REF!</v>
      </c>
      <c r="F44" s="403" t="e">
        <f>'08'!F44</f>
        <v>#REF!</v>
      </c>
      <c r="G44" s="404" t="e">
        <f>'08'!G44</f>
        <v>#REF!</v>
      </c>
      <c r="H44" s="27">
        <f>COUNTIF(C9:C39,"b")</f>
        <v>0</v>
      </c>
      <c r="I44" s="28">
        <f>SUM('12'!H44:I44)</f>
        <v>0</v>
      </c>
      <c r="J44" s="29"/>
      <c r="L44" s="38" t="str">
        <f>'08'!L44</f>
        <v>Bemerkungen:</v>
      </c>
      <c r="M44" s="513"/>
      <c r="N44" s="514"/>
      <c r="O44" s="514"/>
      <c r="P44" s="514"/>
      <c r="Q44" s="515"/>
    </row>
    <row r="45" spans="2:17" ht="15">
      <c r="B45" s="402" t="str">
        <f>'08'!B45</f>
        <v>überbetriebliche Kurse ( c )</v>
      </c>
      <c r="C45" s="403" t="e">
        <f>'08'!C45</f>
        <v>#N/A</v>
      </c>
      <c r="D45" s="403" t="e">
        <f>'08'!D45</f>
        <v>#REF!</v>
      </c>
      <c r="E45" s="403" t="e">
        <f>'08'!E45</f>
        <v>#REF!</v>
      </c>
      <c r="F45" s="403" t="e">
        <f>'08'!F45</f>
        <v>#REF!</v>
      </c>
      <c r="G45" s="404" t="e">
        <f>'08'!G45</f>
        <v>#REF!</v>
      </c>
      <c r="H45" s="27">
        <f>COUNTIF(C9:C39,"c")</f>
        <v>0</v>
      </c>
      <c r="I45" s="28">
        <f>SUM('12'!H45:I45)</f>
        <v>0</v>
      </c>
      <c r="J45" s="29"/>
      <c r="L45" s="34"/>
      <c r="M45" s="516"/>
      <c r="N45" s="517"/>
      <c r="O45" s="517"/>
      <c r="P45" s="517"/>
      <c r="Q45" s="518"/>
    </row>
    <row r="46" spans="2:17" ht="15">
      <c r="B46" s="402" t="str">
        <f>'08'!B46</f>
        <v>Militär ( i )</v>
      </c>
      <c r="C46" s="403" t="e">
        <f>'08'!C46</f>
        <v>#N/A</v>
      </c>
      <c r="D46" s="403" t="e">
        <f>'08'!D46</f>
        <v>#REF!</v>
      </c>
      <c r="E46" s="403" t="e">
        <f>'08'!E46</f>
        <v>#REF!</v>
      </c>
      <c r="F46" s="403" t="e">
        <f>'08'!F46</f>
        <v>#REF!</v>
      </c>
      <c r="G46" s="404" t="e">
        <f>'08'!G46</f>
        <v>#REF!</v>
      </c>
      <c r="H46" s="27">
        <f>COUNTIF(C9:C39,"i")</f>
        <v>0</v>
      </c>
      <c r="I46" s="28">
        <f>SUM('12'!H46:I46)</f>
        <v>0</v>
      </c>
      <c r="J46" s="29"/>
      <c r="L46" s="34"/>
      <c r="M46" s="519"/>
      <c r="N46" s="520"/>
      <c r="O46" s="520"/>
      <c r="P46" s="520"/>
      <c r="Q46" s="521"/>
    </row>
    <row r="47" spans="2:17" ht="15">
      <c r="B47" s="402" t="str">
        <f>'08'!B47</f>
        <v>Frei ( d )</v>
      </c>
      <c r="C47" s="403" t="e">
        <f>'08'!C47</f>
        <v>#N/A</v>
      </c>
      <c r="D47" s="403" t="e">
        <f>'08'!D47</f>
        <v>#REF!</v>
      </c>
      <c r="E47" s="403" t="e">
        <f>'08'!E47</f>
        <v>#REF!</v>
      </c>
      <c r="F47" s="403" t="e">
        <f>'08'!F47</f>
        <v>#REF!</v>
      </c>
      <c r="G47" s="404" t="e">
        <f>'08'!G47</f>
        <v>#REF!</v>
      </c>
      <c r="H47" s="27">
        <f>COUNTIF(C9:C39,"d")+COUNTIF(C9:C39,"f")/2</f>
        <v>0</v>
      </c>
      <c r="I47" s="28">
        <f>SUM('12'!H47:I47)</f>
        <v>0</v>
      </c>
      <c r="J47" s="29"/>
      <c r="L47" s="34"/>
      <c r="M47" s="34"/>
      <c r="N47" s="34"/>
      <c r="O47" s="38"/>
      <c r="P47" s="34"/>
      <c r="Q47" s="40"/>
    </row>
    <row r="48" spans="1:17" ht="15">
      <c r="A48" s="7">
        <v>289</v>
      </c>
      <c r="B48" s="402" t="str">
        <f>'08'!B48</f>
        <v>Ferien ( e )</v>
      </c>
      <c r="C48" s="403" t="e">
        <f>'08'!C48</f>
        <v>#N/A</v>
      </c>
      <c r="D48" s="403" t="e">
        <f>'08'!D48</f>
        <v>#REF!</v>
      </c>
      <c r="E48" s="403" t="e">
        <f>'08'!E48</f>
        <v>#REF!</v>
      </c>
      <c r="F48" s="403" t="e">
        <f>'08'!F48</f>
        <v>#REF!</v>
      </c>
      <c r="G48" s="404" t="e">
        <f>'08'!G48</f>
        <v>#REF!</v>
      </c>
      <c r="H48" s="27">
        <f>COUNTIF(C9:C39,"e")</f>
        <v>0</v>
      </c>
      <c r="I48" s="28">
        <f>SUM('12'!H48:I48)</f>
        <v>0</v>
      </c>
      <c r="J48" s="29"/>
      <c r="L48" s="38" t="str">
        <f>'08'!L48</f>
        <v>Datum</v>
      </c>
      <c r="M48" s="177"/>
      <c r="N48" s="34"/>
      <c r="O48" s="38" t="str">
        <f>'08'!O48</f>
        <v>Berufsbildner /in</v>
      </c>
      <c r="P48" s="54"/>
      <c r="Q48" s="55"/>
    </row>
    <row r="49" spans="1:17" ht="15">
      <c r="A49" s="7">
        <v>290</v>
      </c>
      <c r="B49" s="402" t="str">
        <f>'08'!B49</f>
        <v>Unfall ( g )</v>
      </c>
      <c r="C49" s="403" t="e">
        <f>'08'!C49</f>
        <v>#N/A</v>
      </c>
      <c r="D49" s="403" t="e">
        <f>'08'!D49</f>
        <v>#REF!</v>
      </c>
      <c r="E49" s="403" t="e">
        <f>'08'!E49</f>
        <v>#REF!</v>
      </c>
      <c r="F49" s="403" t="e">
        <f>'08'!F49</f>
        <v>#REF!</v>
      </c>
      <c r="G49" s="404" t="e">
        <f>'08'!G49</f>
        <v>#REF!</v>
      </c>
      <c r="H49" s="27">
        <f>COUNTIF(C9:C39,"g")</f>
        <v>0</v>
      </c>
      <c r="I49" s="28">
        <f>SUM('12'!H49:I49)</f>
        <v>0</v>
      </c>
      <c r="J49" s="29"/>
      <c r="L49" s="34"/>
      <c r="M49" s="34"/>
      <c r="N49" s="34"/>
      <c r="O49" s="38"/>
      <c r="P49" s="34"/>
      <c r="Q49" s="40"/>
    </row>
    <row r="50" spans="1:17" s="7" customFormat="1" ht="15.75" thickBot="1">
      <c r="A50" s="285">
        <v>291</v>
      </c>
      <c r="B50" s="383" t="str">
        <f>'08'!B50</f>
        <v>Krankheit ( h )</v>
      </c>
      <c r="C50" s="384" t="e">
        <f>'08'!C50</f>
        <v>#N/A</v>
      </c>
      <c r="D50" s="384" t="e">
        <f>'08'!D50</f>
        <v>#REF!</v>
      </c>
      <c r="E50" s="384" t="e">
        <f>'08'!E50</f>
        <v>#REF!</v>
      </c>
      <c r="F50" s="384" t="e">
        <f>'08'!F50</f>
        <v>#REF!</v>
      </c>
      <c r="G50" s="385" t="e">
        <f>'08'!G50</f>
        <v>#REF!</v>
      </c>
      <c r="H50" s="30">
        <f>COUNTIF(C9:C39,"h")</f>
        <v>0</v>
      </c>
      <c r="I50" s="31">
        <f>SUM('12'!H50:I50)</f>
        <v>0</v>
      </c>
      <c r="J50" s="32"/>
      <c r="L50" s="34"/>
      <c r="M50" s="35"/>
      <c r="N50" s="34"/>
      <c r="O50" s="38" t="str">
        <f>'08'!O50</f>
        <v>Lernende /r</v>
      </c>
      <c r="P50" s="54"/>
      <c r="Q50" s="55"/>
    </row>
    <row r="51" spans="12:17" ht="14.25">
      <c r="L51" s="34"/>
      <c r="M51" s="35"/>
      <c r="N51" s="34"/>
      <c r="O51" s="38"/>
      <c r="P51" s="54"/>
      <c r="Q51" s="55"/>
    </row>
  </sheetData>
  <sheetProtection password="83EF" sheet="1" objects="1" scenarios="1"/>
  <mergeCells count="37">
    <mergeCell ref="C2:J2"/>
    <mergeCell ref="B1:J1"/>
    <mergeCell ref="L1:Q1"/>
    <mergeCell ref="M3:N3"/>
    <mergeCell ref="O3:P3"/>
    <mergeCell ref="B3:B8"/>
    <mergeCell ref="C3:C8"/>
    <mergeCell ref="D3:D8"/>
    <mergeCell ref="E3:E8"/>
    <mergeCell ref="G3:G8"/>
    <mergeCell ref="H3:H8"/>
    <mergeCell ref="I3:I8"/>
    <mergeCell ref="F3:F8"/>
    <mergeCell ref="J3:J8"/>
    <mergeCell ref="M5:Q5"/>
    <mergeCell ref="M6:Q6"/>
    <mergeCell ref="M20:N20"/>
    <mergeCell ref="M27:N27"/>
    <mergeCell ref="M28:N28"/>
    <mergeCell ref="M7:Q7"/>
    <mergeCell ref="M8:N8"/>
    <mergeCell ref="M44:Q46"/>
    <mergeCell ref="Q33:Q34"/>
    <mergeCell ref="B46:G46"/>
    <mergeCell ref="B50:G50"/>
    <mergeCell ref="B43:G43"/>
    <mergeCell ref="B47:G47"/>
    <mergeCell ref="B44:G44"/>
    <mergeCell ref="B45:G45"/>
    <mergeCell ref="B48:G48"/>
    <mergeCell ref="B49:G49"/>
    <mergeCell ref="B41:G41"/>
    <mergeCell ref="B42:G42"/>
    <mergeCell ref="N33:N34"/>
    <mergeCell ref="M33:M34"/>
    <mergeCell ref="P33:P34"/>
    <mergeCell ref="O33:O34"/>
  </mergeCells>
  <conditionalFormatting sqref="E9:E39">
    <cfRule type="cellIs" priority="29" dxfId="9" operator="lessThan" stopIfTrue="1">
      <formula>0</formula>
    </cfRule>
    <cfRule type="cellIs" priority="30" dxfId="8" operator="greaterThan" stopIfTrue="1">
      <formula>0</formula>
    </cfRule>
    <cfRule type="expression" priority="31" dxfId="7" stopIfTrue="1">
      <formula>OR(C9="a",C9="b",C9="c")</formula>
    </cfRule>
  </conditionalFormatting>
  <conditionalFormatting sqref="F9:F39">
    <cfRule type="cellIs" priority="32" dxfId="9" operator="lessThan" stopIfTrue="1">
      <formula>0</formula>
    </cfRule>
    <cfRule type="cellIs" priority="33" dxfId="8" operator="greaterThan" stopIfTrue="1">
      <formula>0</formula>
    </cfRule>
    <cfRule type="expression" priority="34" dxfId="7" stopIfTrue="1">
      <formula>OR(C9="a")</formula>
    </cfRule>
  </conditionalFormatting>
  <conditionalFormatting sqref="G9:G39">
    <cfRule type="cellIs" priority="35" dxfId="9" operator="lessThan" stopIfTrue="1">
      <formula>0</formula>
    </cfRule>
    <cfRule type="cellIs" priority="36" dxfId="8" operator="greaterThan" stopIfTrue="1">
      <formula>0</formula>
    </cfRule>
    <cfRule type="expression" priority="37" dxfId="7" stopIfTrue="1">
      <formula>OR(C9="a",C9="b",C9="c")</formula>
    </cfRule>
  </conditionalFormatting>
  <conditionalFormatting sqref="B9:B39">
    <cfRule type="expression" priority="25" dxfId="0" stopIfTrue="1">
      <formula>WEEKDAY(B9)=1</formula>
    </cfRule>
  </conditionalFormatting>
  <conditionalFormatting sqref="C9:C39">
    <cfRule type="expression" priority="39" dxfId="2" stopIfTrue="1">
      <formula>AND(C9&lt;&gt;"",C9&lt;&gt;"a",C9&lt;&gt;"b",C9&lt;&gt;"c",C9&lt;&gt;"d",C9&lt;&gt;"e",C9&lt;&gt;"f",C9&lt;&gt;"g",C9&lt;&gt;"h",C9&lt;&gt;"i")</formula>
    </cfRule>
  </conditionalFormatting>
  <conditionalFormatting sqref="D9:D39">
    <cfRule type="cellIs" priority="40" dxfId="9" operator="lessThan" stopIfTrue="1">
      <formula>0</formula>
    </cfRule>
    <cfRule type="cellIs" priority="41" dxfId="8" operator="greaterThan" stopIfTrue="1">
      <formula>0</formula>
    </cfRule>
    <cfRule type="expression" priority="42" dxfId="7" stopIfTrue="1">
      <formula>AND(C9&lt;&gt;"",C9&lt;&gt;"i")</formula>
    </cfRule>
  </conditionalFormatting>
  <conditionalFormatting sqref="D9:D38">
    <cfRule type="cellIs" priority="16" dxfId="9" operator="lessThan" stopIfTrue="1">
      <formula>0</formula>
    </cfRule>
    <cfRule type="cellIs" priority="17" dxfId="8" operator="greaterThan" stopIfTrue="1">
      <formula>0</formula>
    </cfRule>
    <cfRule type="expression" priority="18" dxfId="7" stopIfTrue="1">
      <formula>AND(C9&lt;&gt;"",C9&lt;&gt;"i")</formula>
    </cfRule>
  </conditionalFormatting>
  <conditionalFormatting sqref="D9:D38">
    <cfRule type="cellIs" priority="13" dxfId="9" operator="lessThan" stopIfTrue="1">
      <formula>0</formula>
    </cfRule>
    <cfRule type="cellIs" priority="14" dxfId="8" operator="greaterThan" stopIfTrue="1">
      <formula>0</formula>
    </cfRule>
    <cfRule type="expression" priority="15" dxfId="7" stopIfTrue="1">
      <formula>AND(C9&lt;&gt;"",OR(PN_LogisOuiNon=1,AND(PN_LogisOuiNon=2,C9&lt;&gt;"i")))</formula>
    </cfRule>
  </conditionalFormatting>
  <conditionalFormatting sqref="D9:D38">
    <cfRule type="cellIs" priority="10" dxfId="9" operator="lessThan" stopIfTrue="1">
      <formula>0</formula>
    </cfRule>
    <cfRule type="cellIs" priority="11" dxfId="8" operator="greaterThan" stopIfTrue="1">
      <formula>0</formula>
    </cfRule>
    <cfRule type="expression" priority="12" dxfId="7" stopIfTrue="1">
      <formula>AND(C9&lt;&gt;"",C9&lt;&gt;"i")</formula>
    </cfRule>
  </conditionalFormatting>
  <conditionalFormatting sqref="D9:D38">
    <cfRule type="cellIs" priority="7" dxfId="9" operator="lessThan" stopIfTrue="1">
      <formula>0</formula>
    </cfRule>
    <cfRule type="cellIs" priority="8" dxfId="8" operator="greaterThan" stopIfTrue="1">
      <formula>0</formula>
    </cfRule>
    <cfRule type="expression" priority="9" dxfId="7" stopIfTrue="1">
      <formula>AND(C9&lt;&gt;"",OR(PN_LogisOuiNon=1,AND(PN_LogisOuiNon=2,C9&lt;&gt;"i")))</formula>
    </cfRule>
  </conditionalFormatting>
  <conditionalFormatting sqref="D9:D38">
    <cfRule type="cellIs" priority="4" dxfId="9" operator="lessThan" stopIfTrue="1">
      <formula>0</formula>
    </cfRule>
    <cfRule type="cellIs" priority="5" dxfId="8" operator="greaterThan" stopIfTrue="1">
      <formula>0</formula>
    </cfRule>
    <cfRule type="expression" priority="6" dxfId="7" stopIfTrue="1">
      <formula>AND(C9&lt;&gt;"",OR(PN_LogisOuiNon=1,AND(PN_LogisOuiNon=2,C9&lt;&gt;"j")))</formula>
    </cfRule>
  </conditionalFormatting>
  <conditionalFormatting sqref="H9:H39">
    <cfRule type="expression" priority="1" dxfId="6" stopIfTrue="1">
      <formula>C9="a"</formula>
    </cfRule>
    <cfRule type="expression" priority="2" dxfId="5" stopIfTrue="1">
      <formula>OR(C9="b",C9="c")</formula>
    </cfRule>
    <cfRule type="expression" priority="3" dxfId="0" stopIfTrue="1">
      <formula>OR(C9="d",C9="e")</formula>
    </cfRule>
  </conditionalFormatting>
  <hyperlinks>
    <hyperlink ref="C3:C8" location="Help_Code" display="Help_Code"/>
  </hyperlinks>
  <printOptions horizontalCentered="1" verticalCentered="1"/>
  <pageMargins left="0.3937007874015748" right="0.3937007874015748" top="0.5905511811023623" bottom="0.3937007874015748" header="0.5118110236220472" footer="0.31496062992125984"/>
  <pageSetup horizontalDpi="600" verticalDpi="600" orientation="portrait" paperSize="9" r:id="rId1"/>
  <headerFooter alignWithMargins="0">
    <oddFooter>&amp;L&amp;A&amp;RPage &amp;P</oddFooter>
  </headerFooter>
</worksheet>
</file>

<file path=xl/worksheets/sheet9.xml><?xml version="1.0" encoding="utf-8"?>
<worksheet xmlns="http://schemas.openxmlformats.org/spreadsheetml/2006/main" xmlns:r="http://schemas.openxmlformats.org/officeDocument/2006/relationships">
  <sheetPr codeName="Sheet10"/>
  <dimension ref="A1:Q51"/>
  <sheetViews>
    <sheetView zoomScalePageLayoutView="0" workbookViewId="0" topLeftCell="A1">
      <pane xSplit="2" ySplit="8" topLeftCell="C9" activePane="bottomRight" state="frozen"/>
      <selection pane="topLeft" activeCell="C9" sqref="C9"/>
      <selection pane="topRight" activeCell="C9" sqref="C9"/>
      <selection pane="bottomLeft" activeCell="C9" sqref="C9"/>
      <selection pane="bottomRight" activeCell="B37" sqref="B37"/>
    </sheetView>
  </sheetViews>
  <sheetFormatPr defaultColWidth="9.140625" defaultRowHeight="12.75"/>
  <cols>
    <col min="1" max="1" width="4.7109375" style="7" hidden="1" customWidth="1"/>
    <col min="2" max="2" width="14.7109375" style="7" customWidth="1"/>
    <col min="3" max="7" width="3.7109375" style="7" customWidth="1"/>
    <col min="8" max="9" width="8.7109375" style="8" customWidth="1"/>
    <col min="10" max="10" width="38.7109375" style="7" customWidth="1"/>
    <col min="11" max="11" width="2.7109375" style="7" hidden="1" customWidth="1"/>
    <col min="12" max="12" width="27.421875" style="9" customWidth="1"/>
    <col min="13" max="13" width="12.140625" style="9" customWidth="1"/>
    <col min="14" max="14" width="12.7109375" style="9" customWidth="1"/>
    <col min="15" max="15" width="12.7109375" style="33" customWidth="1"/>
    <col min="16" max="16" width="11.00390625" style="9" customWidth="1"/>
    <col min="17" max="17" width="12.7109375" style="9" customWidth="1"/>
    <col min="18" max="16384" width="9.140625" style="2" customWidth="1"/>
  </cols>
  <sheetData>
    <row r="1" spans="1:17" ht="17.25" thickBot="1">
      <c r="A1" s="10"/>
      <c r="B1" s="430" t="str">
        <f>'08'!B1</f>
        <v>Agenda</v>
      </c>
      <c r="C1" s="431"/>
      <c r="D1" s="431"/>
      <c r="E1" s="431"/>
      <c r="F1" s="431"/>
      <c r="G1" s="431"/>
      <c r="H1" s="431"/>
      <c r="I1" s="431"/>
      <c r="J1" s="432"/>
      <c r="K1" s="10"/>
      <c r="L1" s="433" t="str">
        <f>'08'!L1</f>
        <v>Monatliche Lohnabrechnung</v>
      </c>
      <c r="M1" s="434"/>
      <c r="N1" s="434"/>
      <c r="O1" s="434"/>
      <c r="P1" s="434"/>
      <c r="Q1" s="435"/>
    </row>
    <row r="2" spans="1:17" ht="17.25" thickBot="1">
      <c r="A2" s="10"/>
      <c r="B2" s="175" t="str">
        <f>'08'!B2</f>
        <v>Lerndende / r</v>
      </c>
      <c r="C2" s="495" t="str">
        <f>"- "&amp;TRIM(DB_Apprenti)&amp;" -"</f>
        <v>-  -</v>
      </c>
      <c r="D2" s="495"/>
      <c r="E2" s="495"/>
      <c r="F2" s="495"/>
      <c r="G2" s="495"/>
      <c r="H2" s="495"/>
      <c r="I2" s="495"/>
      <c r="J2" s="496"/>
      <c r="K2" s="10"/>
      <c r="L2" s="152"/>
      <c r="M2" s="152"/>
      <c r="N2" s="152"/>
      <c r="O2" s="152"/>
      <c r="P2" s="152"/>
      <c r="Q2" s="152"/>
    </row>
    <row r="3" spans="2:17" ht="15" customHeight="1">
      <c r="B3" s="438">
        <f>DATE(DB_Annee+1,2,1)</f>
        <v>43862</v>
      </c>
      <c r="C3" s="507" t="str">
        <f>'08'!C3</f>
        <v>[ a-b-c-d-e-f-g-h-i ]</v>
      </c>
      <c r="D3" s="444" t="str">
        <f>'08'!D3</f>
        <v>Übernachtung</v>
      </c>
      <c r="E3" s="447" t="str">
        <f>'08'!E3</f>
        <v>Morgenessen</v>
      </c>
      <c r="F3" s="447" t="str">
        <f>'08'!F3</f>
        <v>Mittagessen</v>
      </c>
      <c r="G3" s="413" t="str">
        <f>'08'!G3</f>
        <v>Abendessen</v>
      </c>
      <c r="H3" s="418" t="str">
        <f>'08'!H3</f>
        <v>Betrag Naturallohn</v>
      </c>
      <c r="I3" s="522" t="str">
        <f>'08'!I3</f>
        <v>Angepasster Betrag</v>
      </c>
      <c r="J3" s="503" t="str">
        <f>'08'!J3</f>
        <v>Kommentar
a = Arbeitstag
b = Schultag
c = überbetrieblicher Kurs (üK)
d = Freitag
e = Ferientag
f = 1/2 Arbeitstag, 1/2 Freitag
g = Unfall (ganz Tag)
h = Krankheit (ganz Tag)
i = Miltär</v>
      </c>
      <c r="L3" s="36" t="str">
        <f>'08'!L3</f>
        <v>Monat:</v>
      </c>
      <c r="M3" s="436">
        <f>B3</f>
        <v>43862</v>
      </c>
      <c r="N3" s="436"/>
      <c r="O3" s="437" t="str">
        <f>'08'!O3</f>
        <v>Jahr:</v>
      </c>
      <c r="P3" s="437">
        <f>'08'!P3</f>
        <v>0</v>
      </c>
      <c r="Q3" s="176">
        <f>B3</f>
        <v>43862</v>
      </c>
    </row>
    <row r="4" spans="1:17" ht="15">
      <c r="A4" s="10"/>
      <c r="B4" s="439"/>
      <c r="C4" s="508">
        <f>'08'!C4</f>
        <v>0</v>
      </c>
      <c r="D4" s="445">
        <f>'08'!D4</f>
        <v>0</v>
      </c>
      <c r="E4" s="448">
        <f>'08'!E4</f>
        <v>0</v>
      </c>
      <c r="F4" s="448">
        <f>'08'!F4</f>
        <v>0</v>
      </c>
      <c r="G4" s="414">
        <f>'08'!G4</f>
        <v>0</v>
      </c>
      <c r="H4" s="419">
        <f>'08'!H4</f>
        <v>0</v>
      </c>
      <c r="I4" s="523">
        <f>'08'!I4</f>
        <v>0</v>
      </c>
      <c r="J4" s="524">
        <f>'08'!J4</f>
        <v>0</v>
      </c>
      <c r="K4" s="10"/>
      <c r="L4" s="34"/>
      <c r="M4" s="34"/>
      <c r="N4" s="37"/>
      <c r="O4" s="36"/>
      <c r="P4" s="11"/>
      <c r="Q4" s="11"/>
    </row>
    <row r="5" spans="1:17" ht="15">
      <c r="A5" s="10"/>
      <c r="B5" s="439"/>
      <c r="C5" s="508">
        <f>'08'!C5</f>
        <v>0</v>
      </c>
      <c r="D5" s="445">
        <f>'08'!D5</f>
        <v>0</v>
      </c>
      <c r="E5" s="448">
        <f>'08'!E5</f>
        <v>0</v>
      </c>
      <c r="F5" s="448">
        <f>'08'!F5</f>
        <v>0</v>
      </c>
      <c r="G5" s="414">
        <f>'08'!G5</f>
        <v>0</v>
      </c>
      <c r="H5" s="419">
        <f>'08'!H5</f>
        <v>0</v>
      </c>
      <c r="I5" s="523">
        <f>'08'!I5</f>
        <v>0</v>
      </c>
      <c r="J5" s="524">
        <f>'08'!J5</f>
        <v>0</v>
      </c>
      <c r="K5" s="10"/>
      <c r="L5" s="36" t="str">
        <f>'08'!L5</f>
        <v>Berufsbildner</v>
      </c>
      <c r="M5" s="416">
        <f>TRIM(DB_Maitre)</f>
      </c>
      <c r="N5" s="416"/>
      <c r="O5" s="416"/>
      <c r="P5" s="416"/>
      <c r="Q5" s="416"/>
    </row>
    <row r="6" spans="1:17" ht="15">
      <c r="A6" s="10"/>
      <c r="B6" s="439"/>
      <c r="C6" s="508">
        <f>'08'!C6</f>
        <v>0</v>
      </c>
      <c r="D6" s="445">
        <f>'08'!D6</f>
        <v>0</v>
      </c>
      <c r="E6" s="448">
        <f>'08'!E6</f>
        <v>0</v>
      </c>
      <c r="F6" s="448">
        <f>'08'!F6</f>
        <v>0</v>
      </c>
      <c r="G6" s="414">
        <f>'08'!G6</f>
        <v>0</v>
      </c>
      <c r="H6" s="419">
        <f>'08'!H6</f>
        <v>0</v>
      </c>
      <c r="I6" s="523">
        <f>'08'!I6</f>
        <v>0</v>
      </c>
      <c r="J6" s="524">
        <f>'08'!J6</f>
        <v>0</v>
      </c>
      <c r="K6" s="10"/>
      <c r="L6" s="36" t="str">
        <f>'08'!L6</f>
        <v>Ort</v>
      </c>
      <c r="M6" s="417">
        <f>TRIM(DB_MaitreLieu)</f>
      </c>
      <c r="N6" s="417"/>
      <c r="O6" s="417"/>
      <c r="P6" s="417"/>
      <c r="Q6" s="417"/>
    </row>
    <row r="7" spans="1:17" ht="15">
      <c r="A7" s="10"/>
      <c r="B7" s="439"/>
      <c r="C7" s="508">
        <f>'08'!C7</f>
        <v>0</v>
      </c>
      <c r="D7" s="445">
        <f>'08'!D7</f>
        <v>0</v>
      </c>
      <c r="E7" s="448">
        <f>'08'!E7</f>
        <v>0</v>
      </c>
      <c r="F7" s="448">
        <f>'08'!F7</f>
        <v>0</v>
      </c>
      <c r="G7" s="414">
        <f>'08'!G7</f>
        <v>0</v>
      </c>
      <c r="H7" s="419">
        <f>'08'!H7</f>
        <v>0</v>
      </c>
      <c r="I7" s="523">
        <f>'08'!I7</f>
        <v>0</v>
      </c>
      <c r="J7" s="524">
        <f>'08'!J7</f>
        <v>0</v>
      </c>
      <c r="K7" s="10"/>
      <c r="L7" s="36" t="str">
        <f>'08'!L7</f>
        <v>Lernende / r</v>
      </c>
      <c r="M7" s="417">
        <f>TRIM(DB_Apprenti)</f>
      </c>
      <c r="N7" s="417"/>
      <c r="O7" s="417"/>
      <c r="P7" s="417"/>
      <c r="Q7" s="417"/>
    </row>
    <row r="8" spans="2:17" ht="15.75" thickBot="1">
      <c r="B8" s="440"/>
      <c r="C8" s="509">
        <f>'08'!C8</f>
        <v>0</v>
      </c>
      <c r="D8" s="446">
        <f>'08'!D8</f>
        <v>0</v>
      </c>
      <c r="E8" s="449">
        <f>'08'!E8</f>
        <v>0</v>
      </c>
      <c r="F8" s="449">
        <f>'08'!F8</f>
        <v>0</v>
      </c>
      <c r="G8" s="415">
        <f>'08'!G8</f>
        <v>0</v>
      </c>
      <c r="H8" s="420">
        <f>'08'!H8</f>
        <v>0</v>
      </c>
      <c r="I8" s="423">
        <f>'08'!I8</f>
        <v>0</v>
      </c>
      <c r="J8" s="525">
        <f>'08'!J8</f>
        <v>0</v>
      </c>
      <c r="L8" s="36" t="str">
        <f>'08'!L8</f>
        <v>AHV-Nummer</v>
      </c>
      <c r="M8" s="417">
        <f>TRIM(DB_AVS)</f>
      </c>
      <c r="N8" s="417"/>
      <c r="P8" s="3" t="str">
        <f>'08'!P8</f>
        <v>Geburtsdatum</v>
      </c>
      <c r="Q8" s="42">
        <f>IF(DB_DateNaissance=0,"",DB_DateNaissance)</f>
      </c>
    </row>
    <row r="9" spans="2:11" ht="15">
      <c r="B9" s="87">
        <f>B3</f>
        <v>43862</v>
      </c>
      <c r="C9" s="154"/>
      <c r="D9" s="359"/>
      <c r="E9" s="268"/>
      <c r="F9" s="268"/>
      <c r="G9" s="269"/>
      <c r="H9" s="12">
        <f aca="true" t="shared" si="0" ref="H9:H39">MAX(IF(C9="a",PN_Travail,IF(C9="b",PN_CoursProf,IF(C9="c",PN_CoursIE,IF(C9="d",PN_Conge,0)))),IF(C9="e",PN_Vacances,IF(C9="f",PN_DemiJour,IF(C9="g",PN_Accident,IF(C9="h",PN_Maladie,IF(C9="i",PN_Armee,0))))))</f>
        <v>0</v>
      </c>
      <c r="I9" s="13">
        <f aca="true" t="shared" si="1" ref="I9:I39">H9+D9*PN_Logis_Plus+E9*PN_Dejeuner_Plus+F9*PN_Diner_Plus+G9*PN_Souper_Plus</f>
        <v>0</v>
      </c>
      <c r="J9" s="161"/>
      <c r="K9" s="14"/>
    </row>
    <row r="10" spans="2:10" ht="15">
      <c r="B10" s="15">
        <f>B9+1</f>
        <v>43863</v>
      </c>
      <c r="C10" s="154"/>
      <c r="D10" s="359"/>
      <c r="E10" s="268"/>
      <c r="F10" s="268"/>
      <c r="G10" s="269"/>
      <c r="H10" s="12">
        <f t="shared" si="0"/>
        <v>0</v>
      </c>
      <c r="I10" s="13">
        <f t="shared" si="1"/>
        <v>0</v>
      </c>
      <c r="J10" s="190"/>
    </row>
    <row r="11" spans="1:17" ht="15">
      <c r="A11" s="163">
        <v>230</v>
      </c>
      <c r="B11" s="15">
        <f aca="true" t="shared" si="2" ref="B11:B36">B10+1</f>
        <v>43864</v>
      </c>
      <c r="C11" s="154"/>
      <c r="D11" s="359"/>
      <c r="E11" s="268"/>
      <c r="F11" s="268"/>
      <c r="G11" s="269"/>
      <c r="H11" s="12">
        <f t="shared" si="0"/>
        <v>0</v>
      </c>
      <c r="I11" s="13">
        <f t="shared" si="1"/>
        <v>0</v>
      </c>
      <c r="J11" s="190"/>
      <c r="L11" s="39" t="str">
        <f>'08'!L11</f>
        <v>Bruttolohn  </v>
      </c>
      <c r="M11" s="34" t="e">
        <f>IF(PN_EffMoy=0,SUBSTITUTE(VLOOKUP(A11+1,Tb_Traduction,DB_Langue,FALSE),"***",TEXT(J40,"0.00")),"")</f>
        <v>#N/A</v>
      </c>
      <c r="N11" s="34"/>
      <c r="O11" s="38"/>
      <c r="P11" s="45"/>
      <c r="Q11" s="49" t="e">
        <f>IF(OR(PN_EffMoy=0,Nb_Mois&lt;&gt;12),Sa_BaseMensuelArrondi/H42*C40,Sa_BaseMensuelArrondi)</f>
        <v>#N/A</v>
      </c>
    </row>
    <row r="12" spans="2:17" ht="15">
      <c r="B12" s="15">
        <f t="shared" si="2"/>
        <v>43865</v>
      </c>
      <c r="C12" s="154"/>
      <c r="D12" s="359"/>
      <c r="E12" s="268"/>
      <c r="F12" s="268"/>
      <c r="G12" s="269"/>
      <c r="H12" s="12">
        <f t="shared" si="0"/>
        <v>0</v>
      </c>
      <c r="I12" s="13">
        <f t="shared" si="1"/>
        <v>0</v>
      </c>
      <c r="J12" s="190"/>
      <c r="L12" s="9" t="str">
        <f>'08'!L12</f>
        <v>Prämie, Bonus, Gratifikation</v>
      </c>
      <c r="Q12" s="155"/>
    </row>
    <row r="13" spans="2:17" ht="15">
      <c r="B13" s="15">
        <f t="shared" si="2"/>
        <v>43866</v>
      </c>
      <c r="C13" s="154"/>
      <c r="D13" s="359"/>
      <c r="E13" s="268"/>
      <c r="F13" s="268"/>
      <c r="G13" s="269"/>
      <c r="H13" s="12">
        <f t="shared" si="0"/>
        <v>0</v>
      </c>
      <c r="I13" s="13">
        <f t="shared" si="1"/>
        <v>0</v>
      </c>
      <c r="J13" s="190"/>
      <c r="L13" s="88" t="str">
        <f>'08'!L13</f>
        <v>Bruttolohn total</v>
      </c>
      <c r="Q13" s="89" t="e">
        <f>SUM(Q11:Q12)</f>
        <v>#N/A</v>
      </c>
    </row>
    <row r="14" spans="2:10" ht="15">
      <c r="B14" s="15">
        <f t="shared" si="2"/>
        <v>43867</v>
      </c>
      <c r="C14" s="154"/>
      <c r="D14" s="359"/>
      <c r="E14" s="268"/>
      <c r="F14" s="268"/>
      <c r="G14" s="269"/>
      <c r="H14" s="12">
        <f t="shared" si="0"/>
        <v>0</v>
      </c>
      <c r="I14" s="13">
        <f t="shared" si="1"/>
        <v>0</v>
      </c>
      <c r="J14" s="190"/>
    </row>
    <row r="15" spans="2:17" ht="15">
      <c r="B15" s="15">
        <f t="shared" si="2"/>
        <v>43868</v>
      </c>
      <c r="C15" s="154"/>
      <c r="D15" s="359"/>
      <c r="E15" s="268"/>
      <c r="F15" s="268"/>
      <c r="G15" s="269"/>
      <c r="H15" s="12">
        <f t="shared" si="0"/>
        <v>0</v>
      </c>
      <c r="I15" s="13">
        <f t="shared" si="1"/>
        <v>0</v>
      </c>
      <c r="J15" s="190"/>
      <c r="L15" s="39" t="str">
        <f>'08'!L15</f>
        <v>Abzüge</v>
      </c>
      <c r="M15" s="11" t="str">
        <f>'08'!M15</f>
        <v>Anteil</v>
      </c>
      <c r="N15" s="11" t="s">
        <v>37</v>
      </c>
      <c r="O15" s="38"/>
      <c r="P15" s="45"/>
      <c r="Q15" s="46"/>
    </row>
    <row r="16" spans="2:17" ht="15">
      <c r="B16" s="15">
        <f t="shared" si="2"/>
        <v>43869</v>
      </c>
      <c r="C16" s="154"/>
      <c r="D16" s="359"/>
      <c r="E16" s="268"/>
      <c r="F16" s="268"/>
      <c r="G16" s="269"/>
      <c r="H16" s="12">
        <f t="shared" si="0"/>
        <v>0</v>
      </c>
      <c r="I16" s="13">
        <f t="shared" si="1"/>
        <v>0</v>
      </c>
      <c r="J16" s="190"/>
      <c r="L16" s="48" t="str">
        <f>'08'!L16</f>
        <v>Beiträge AHV, IV, EO*:</v>
      </c>
      <c r="M16" s="43" t="s">
        <v>50</v>
      </c>
      <c r="N16" s="44">
        <f>IF(B3&gt;=DB_SoumisAVS,RS_AVS_Plus,0)</f>
        <v>0.05125</v>
      </c>
      <c r="O16" s="38"/>
      <c r="P16" s="50" t="e">
        <f>$Q$13*N16</f>
        <v>#N/A</v>
      </c>
      <c r="Q16" s="46"/>
    </row>
    <row r="17" spans="2:17" ht="15">
      <c r="B17" s="15">
        <f t="shared" si="2"/>
        <v>43870</v>
      </c>
      <c r="C17" s="154"/>
      <c r="D17" s="359"/>
      <c r="E17" s="268"/>
      <c r="F17" s="268"/>
      <c r="G17" s="269"/>
      <c r="H17" s="12">
        <f t="shared" si="0"/>
        <v>0</v>
      </c>
      <c r="I17" s="13">
        <f t="shared" si="1"/>
        <v>0</v>
      </c>
      <c r="J17" s="190"/>
      <c r="L17" s="48" t="str">
        <f>'08'!L17</f>
        <v>Beiträge ALV*:</v>
      </c>
      <c r="M17" s="43" t="s">
        <v>50</v>
      </c>
      <c r="N17" s="44">
        <f>IF(B3&gt;=DB_SoumisAVS,RS_AC_Plus,0)</f>
        <v>0.011</v>
      </c>
      <c r="O17" s="38"/>
      <c r="P17" s="50" t="e">
        <f>$Q$13*N17</f>
        <v>#N/A</v>
      </c>
      <c r="Q17" s="46"/>
    </row>
    <row r="18" spans="2:17" ht="15">
      <c r="B18" s="15">
        <f t="shared" si="2"/>
        <v>43871</v>
      </c>
      <c r="C18" s="154"/>
      <c r="D18" s="359"/>
      <c r="E18" s="268"/>
      <c r="F18" s="268"/>
      <c r="G18" s="269"/>
      <c r="H18" s="12">
        <f t="shared" si="0"/>
        <v>0</v>
      </c>
      <c r="I18" s="13">
        <f t="shared" si="1"/>
        <v>0</v>
      </c>
      <c r="J18" s="190"/>
      <c r="L18" s="48" t="str">
        <f>'08'!L18</f>
        <v>Nichtbetriebsunfall:</v>
      </c>
      <c r="M18" s="43" t="s">
        <v>244</v>
      </c>
      <c r="N18" s="44">
        <f>RS_ANP_Plus</f>
        <v>0.01641</v>
      </c>
      <c r="O18" s="38"/>
      <c r="P18" s="51" t="e">
        <f>$Q$13*N18</f>
        <v>#N/A</v>
      </c>
      <c r="Q18" s="46"/>
    </row>
    <row r="19" spans="2:17" ht="15">
      <c r="B19" s="15">
        <f t="shared" si="2"/>
        <v>43872</v>
      </c>
      <c r="C19" s="154"/>
      <c r="D19" s="359"/>
      <c r="E19" s="268"/>
      <c r="F19" s="268"/>
      <c r="G19" s="269"/>
      <c r="H19" s="12">
        <f t="shared" si="0"/>
        <v>0</v>
      </c>
      <c r="I19" s="13">
        <f t="shared" si="1"/>
        <v>0</v>
      </c>
      <c r="J19" s="190"/>
      <c r="L19" s="48" t="str">
        <f>'08'!L19</f>
        <v>Krankentaggeld:</v>
      </c>
      <c r="M19" s="43" t="s">
        <v>50</v>
      </c>
      <c r="N19" s="44">
        <f>RS_MC_Plus</f>
        <v>0.0044</v>
      </c>
      <c r="O19" s="38"/>
      <c r="P19" s="50" t="e">
        <f>$Q$13*N19</f>
        <v>#N/A</v>
      </c>
      <c r="Q19" s="46"/>
    </row>
    <row r="20" spans="2:16" ht="15">
      <c r="B20" s="15">
        <f t="shared" si="2"/>
        <v>43873</v>
      </c>
      <c r="C20" s="154"/>
      <c r="D20" s="359"/>
      <c r="E20" s="268"/>
      <c r="F20" s="268"/>
      <c r="G20" s="269"/>
      <c r="H20" s="12">
        <f t="shared" si="0"/>
        <v>0</v>
      </c>
      <c r="I20" s="13">
        <f t="shared" si="1"/>
        <v>0</v>
      </c>
      <c r="J20" s="190"/>
      <c r="L20" s="48" t="str">
        <f>'08'!L20</f>
        <v>Anderer Abzug:</v>
      </c>
      <c r="M20" s="511"/>
      <c r="N20" s="511"/>
      <c r="O20" s="38"/>
      <c r="P20" s="160"/>
    </row>
    <row r="21" spans="2:16" ht="15">
      <c r="B21" s="15">
        <f t="shared" si="2"/>
        <v>43874</v>
      </c>
      <c r="C21" s="154"/>
      <c r="D21" s="359"/>
      <c r="E21" s="268"/>
      <c r="F21" s="268"/>
      <c r="G21" s="269"/>
      <c r="H21" s="12">
        <f t="shared" si="0"/>
        <v>0</v>
      </c>
      <c r="I21" s="13">
        <f t="shared" si="1"/>
        <v>0</v>
      </c>
      <c r="J21" s="190"/>
      <c r="L21" s="38" t="e">
        <f>'08'!L21</f>
        <v>#N/A</v>
      </c>
      <c r="M21" s="34"/>
      <c r="N21" s="34"/>
      <c r="O21" s="38"/>
      <c r="P21" s="50" t="e">
        <f>IF(PN_EffMoy=0,I40,IF(Nb_Mois=12,Sa_NatureMensuelArrondi,Sa_NatureMensuelArrondi*C40/H42))</f>
        <v>#N/A</v>
      </c>
    </row>
    <row r="22" spans="2:16" ht="15">
      <c r="B22" s="15">
        <f t="shared" si="2"/>
        <v>43875</v>
      </c>
      <c r="C22" s="154"/>
      <c r="D22" s="359"/>
      <c r="E22" s="268"/>
      <c r="F22" s="268"/>
      <c r="G22" s="269"/>
      <c r="H22" s="12">
        <f t="shared" si="0"/>
        <v>0</v>
      </c>
      <c r="I22" s="13">
        <f t="shared" si="1"/>
        <v>0</v>
      </c>
      <c r="J22" s="190"/>
      <c r="L22" s="41" t="str">
        <f>'08'!L22</f>
        <v>*) sofern pflichtig</v>
      </c>
      <c r="P22" s="47"/>
    </row>
    <row r="23" spans="2:17" ht="15">
      <c r="B23" s="15">
        <f t="shared" si="2"/>
        <v>43876</v>
      </c>
      <c r="C23" s="154"/>
      <c r="D23" s="359"/>
      <c r="E23" s="268"/>
      <c r="F23" s="268"/>
      <c r="G23" s="269"/>
      <c r="H23" s="12">
        <f t="shared" si="0"/>
        <v>0</v>
      </c>
      <c r="I23" s="13">
        <f t="shared" si="1"/>
        <v>0</v>
      </c>
      <c r="J23" s="190"/>
      <c r="Q23" s="46"/>
    </row>
    <row r="24" spans="2:17" ht="15">
      <c r="B24" s="15">
        <f t="shared" si="2"/>
        <v>43877</v>
      </c>
      <c r="C24" s="154"/>
      <c r="D24" s="359"/>
      <c r="E24" s="268"/>
      <c r="F24" s="268"/>
      <c r="G24" s="269"/>
      <c r="H24" s="12">
        <f t="shared" si="0"/>
        <v>0</v>
      </c>
      <c r="I24" s="13">
        <f t="shared" si="1"/>
        <v>0</v>
      </c>
      <c r="J24" s="190"/>
      <c r="L24" s="39" t="str">
        <f>'08'!L24</f>
        <v>Total Abzüge</v>
      </c>
      <c r="Q24" s="49" t="e">
        <f>INT((SUM(P16:P21)*20)+0.5)/20</f>
        <v>#N/A</v>
      </c>
    </row>
    <row r="25" spans="2:17" ht="15">
      <c r="B25" s="15">
        <f t="shared" si="2"/>
        <v>43878</v>
      </c>
      <c r="C25" s="154"/>
      <c r="D25" s="359"/>
      <c r="E25" s="268"/>
      <c r="F25" s="268"/>
      <c r="G25" s="269"/>
      <c r="H25" s="12">
        <f t="shared" si="0"/>
        <v>0</v>
      </c>
      <c r="I25" s="13">
        <f t="shared" si="1"/>
        <v>0</v>
      </c>
      <c r="J25" s="190"/>
      <c r="Q25" s="47"/>
    </row>
    <row r="26" spans="2:17" ht="15">
      <c r="B26" s="15">
        <f t="shared" si="2"/>
        <v>43879</v>
      </c>
      <c r="C26" s="154"/>
      <c r="D26" s="359"/>
      <c r="E26" s="268"/>
      <c r="F26" s="268"/>
      <c r="G26" s="269"/>
      <c r="H26" s="12">
        <f t="shared" si="0"/>
        <v>0</v>
      </c>
      <c r="I26" s="13">
        <f t="shared" si="1"/>
        <v>0</v>
      </c>
      <c r="J26" s="190"/>
      <c r="L26" s="39" t="str">
        <f>'08'!L26</f>
        <v>Rückvergügungen</v>
      </c>
      <c r="M26" s="34"/>
      <c r="N26" s="34"/>
      <c r="O26" s="38"/>
      <c r="P26" s="45"/>
      <c r="Q26" s="46"/>
    </row>
    <row r="27" spans="2:17" ht="15">
      <c r="B27" s="15">
        <f t="shared" si="2"/>
        <v>43880</v>
      </c>
      <c r="C27" s="154"/>
      <c r="D27" s="359"/>
      <c r="E27" s="268"/>
      <c r="F27" s="268"/>
      <c r="G27" s="269"/>
      <c r="H27" s="12">
        <f t="shared" si="0"/>
        <v>0</v>
      </c>
      <c r="I27" s="13">
        <f t="shared" si="1"/>
        <v>0</v>
      </c>
      <c r="J27" s="190"/>
      <c r="L27" s="38" t="str">
        <f>'08'!L27</f>
        <v>Kostenbeteiligungen</v>
      </c>
      <c r="M27" s="511"/>
      <c r="N27" s="511"/>
      <c r="O27" s="38"/>
      <c r="P27" s="159"/>
      <c r="Q27" s="46"/>
    </row>
    <row r="28" spans="2:17" ht="15">
      <c r="B28" s="15">
        <f t="shared" si="2"/>
        <v>43881</v>
      </c>
      <c r="C28" s="154"/>
      <c r="D28" s="359"/>
      <c r="E28" s="268"/>
      <c r="F28" s="268"/>
      <c r="G28" s="269"/>
      <c r="H28" s="12">
        <f t="shared" si="0"/>
        <v>0</v>
      </c>
      <c r="I28" s="13">
        <f t="shared" si="1"/>
        <v>0</v>
      </c>
      <c r="J28" s="190"/>
      <c r="L28" s="38" t="str">
        <f>'08'!L28</f>
        <v>Übrige Rückvergütungen</v>
      </c>
      <c r="M28" s="512"/>
      <c r="N28" s="512"/>
      <c r="O28" s="38"/>
      <c r="P28" s="160"/>
      <c r="Q28" s="46"/>
    </row>
    <row r="29" spans="2:10" ht="15">
      <c r="B29" s="15">
        <f t="shared" si="2"/>
        <v>43882</v>
      </c>
      <c r="C29" s="154"/>
      <c r="D29" s="359"/>
      <c r="E29" s="268"/>
      <c r="F29" s="268"/>
      <c r="G29" s="269"/>
      <c r="H29" s="12">
        <f t="shared" si="0"/>
        <v>0</v>
      </c>
      <c r="I29" s="13">
        <f t="shared" si="1"/>
        <v>0</v>
      </c>
      <c r="J29" s="190"/>
    </row>
    <row r="30" spans="2:17" ht="15">
      <c r="B30" s="15">
        <f t="shared" si="2"/>
        <v>43883</v>
      </c>
      <c r="C30" s="154"/>
      <c r="D30" s="359"/>
      <c r="E30" s="268"/>
      <c r="F30" s="268"/>
      <c r="G30" s="269"/>
      <c r="H30" s="12">
        <f t="shared" si="0"/>
        <v>0</v>
      </c>
      <c r="I30" s="13">
        <f t="shared" si="1"/>
        <v>0</v>
      </c>
      <c r="J30" s="190"/>
      <c r="L30" s="39" t="str">
        <f>'08'!L30</f>
        <v>Zuschläge</v>
      </c>
      <c r="M30" s="34"/>
      <c r="N30" s="34"/>
      <c r="O30" s="38"/>
      <c r="P30" s="45"/>
      <c r="Q30" s="52">
        <f>SUM(P27:P28)</f>
        <v>0</v>
      </c>
    </row>
    <row r="31" spans="2:17" ht="15">
      <c r="B31" s="15">
        <f t="shared" si="2"/>
        <v>43884</v>
      </c>
      <c r="C31" s="154"/>
      <c r="D31" s="359"/>
      <c r="E31" s="268"/>
      <c r="F31" s="268"/>
      <c r="G31" s="269"/>
      <c r="H31" s="12">
        <f t="shared" si="0"/>
        <v>0</v>
      </c>
      <c r="I31" s="13">
        <f t="shared" si="1"/>
        <v>0</v>
      </c>
      <c r="J31" s="190"/>
      <c r="L31" s="34"/>
      <c r="M31" s="34"/>
      <c r="N31" s="34"/>
      <c r="O31" s="38"/>
      <c r="P31" s="45"/>
      <c r="Q31" s="46"/>
    </row>
    <row r="32" spans="2:17" ht="15">
      <c r="B32" s="15">
        <f t="shared" si="2"/>
        <v>43885</v>
      </c>
      <c r="C32" s="154"/>
      <c r="D32" s="359"/>
      <c r="E32" s="268"/>
      <c r="F32" s="268"/>
      <c r="G32" s="269"/>
      <c r="H32" s="12">
        <f t="shared" si="0"/>
        <v>0</v>
      </c>
      <c r="I32" s="13">
        <f t="shared" si="1"/>
        <v>0</v>
      </c>
      <c r="J32" s="190"/>
      <c r="L32" s="39" t="str">
        <f>'08'!L32</f>
        <v>Netto-Auszahlung</v>
      </c>
      <c r="M32" s="34"/>
      <c r="N32" s="34"/>
      <c r="O32" s="38"/>
      <c r="P32" s="45"/>
      <c r="Q32" s="53" t="e">
        <f>Q13+Q30-Q24</f>
        <v>#N/A</v>
      </c>
    </row>
    <row r="33" spans="2:17" ht="15">
      <c r="B33" s="15">
        <f t="shared" si="2"/>
        <v>43886</v>
      </c>
      <c r="C33" s="154"/>
      <c r="D33" s="359"/>
      <c r="E33" s="268"/>
      <c r="F33" s="268"/>
      <c r="G33" s="269"/>
      <c r="H33" s="12">
        <f t="shared" si="0"/>
        <v>0</v>
      </c>
      <c r="I33" s="13">
        <f t="shared" si="1"/>
        <v>0</v>
      </c>
      <c r="J33" s="190"/>
      <c r="L33" s="34"/>
      <c r="M33" s="386" t="str">
        <f>'08'!M33</f>
        <v>aktueller
Monat</v>
      </c>
      <c r="N33" s="386" t="str">
        <f>'08'!N33</f>
        <v>Summe der
Vormonate</v>
      </c>
      <c r="O33" s="386" t="str">
        <f>'08'!O33</f>
        <v>Jahresvor-
anschlag:</v>
      </c>
      <c r="P33" s="510"/>
      <c r="Q33" s="386" t="str">
        <f>'08'!Q33</f>
        <v>Aktueller
Saldo</v>
      </c>
    </row>
    <row r="34" spans="2:17" ht="15">
      <c r="B34" s="15">
        <f t="shared" si="2"/>
        <v>43887</v>
      </c>
      <c r="C34" s="154"/>
      <c r="D34" s="359"/>
      <c r="E34" s="268"/>
      <c r="F34" s="268"/>
      <c r="G34" s="269"/>
      <c r="H34" s="12">
        <f t="shared" si="0"/>
        <v>0</v>
      </c>
      <c r="I34" s="13">
        <f t="shared" si="1"/>
        <v>0</v>
      </c>
      <c r="J34" s="190"/>
      <c r="L34" s="56" t="str">
        <f>'08'!L34</f>
        <v>Tagesabrechnung</v>
      </c>
      <c r="M34" s="387">
        <f>'08'!M34</f>
        <v>0</v>
      </c>
      <c r="N34" s="387">
        <f>'08'!N34</f>
        <v>0</v>
      </c>
      <c r="O34" s="387">
        <f>'08'!O34</f>
        <v>0</v>
      </c>
      <c r="P34" s="510"/>
      <c r="Q34" s="387">
        <f>'08'!Q34</f>
        <v>0</v>
      </c>
    </row>
    <row r="35" spans="2:17" ht="15">
      <c r="B35" s="15">
        <f t="shared" si="2"/>
        <v>43888</v>
      </c>
      <c r="C35" s="154"/>
      <c r="D35" s="359"/>
      <c r="E35" s="268"/>
      <c r="F35" s="268"/>
      <c r="G35" s="269"/>
      <c r="H35" s="12">
        <f t="shared" si="0"/>
        <v>0</v>
      </c>
      <c r="I35" s="13">
        <f t="shared" si="1"/>
        <v>0</v>
      </c>
      <c r="J35" s="190"/>
      <c r="L35" s="287" t="str">
        <f>'08'!L35</f>
        <v>Arbeit:</v>
      </c>
      <c r="M35" s="262">
        <f aca="true" t="shared" si="3" ref="M35:N38">H43</f>
        <v>0</v>
      </c>
      <c r="N35" s="262">
        <f t="shared" si="3"/>
        <v>0</v>
      </c>
      <c r="O35" s="262" t="e">
        <f>NJ_Travail</f>
        <v>#N/A</v>
      </c>
      <c r="Q35" s="263" t="e">
        <f aca="true" t="shared" si="4" ref="Q35:Q42">O35-N35-M35</f>
        <v>#N/A</v>
      </c>
    </row>
    <row r="36" spans="2:17" ht="15">
      <c r="B36" s="15">
        <f t="shared" si="2"/>
        <v>43889</v>
      </c>
      <c r="C36" s="154"/>
      <c r="D36" s="359"/>
      <c r="E36" s="268"/>
      <c r="F36" s="268"/>
      <c r="G36" s="269"/>
      <c r="H36" s="12">
        <f t="shared" si="0"/>
        <v>0</v>
      </c>
      <c r="I36" s="13">
        <f t="shared" si="1"/>
        <v>0</v>
      </c>
      <c r="J36" s="190"/>
      <c r="L36" s="287" t="str">
        <f>'08'!L36</f>
        <v>Schultage:</v>
      </c>
      <c r="M36" s="178">
        <f t="shared" si="3"/>
        <v>0</v>
      </c>
      <c r="N36" s="178">
        <f t="shared" si="3"/>
        <v>0</v>
      </c>
      <c r="O36" s="178" t="e">
        <f>NJ_CoursProf</f>
        <v>#N/A</v>
      </c>
      <c r="Q36" s="179" t="e">
        <f t="shared" si="4"/>
        <v>#N/A</v>
      </c>
    </row>
    <row r="37" spans="2:17" ht="15">
      <c r="B37" s="15">
        <f>B36+1</f>
        <v>43890</v>
      </c>
      <c r="C37" s="154"/>
      <c r="D37" s="359"/>
      <c r="E37" s="268"/>
      <c r="F37" s="268"/>
      <c r="G37" s="269"/>
      <c r="H37" s="12">
        <f t="shared" si="0"/>
        <v>0</v>
      </c>
      <c r="I37" s="13">
        <f>H37+D37*PN_Logis_Plus+E37*PN_Dejeuner_Plus+F37*PN_Diner_Plus+G37*PN_Souper_Plus</f>
        <v>0</v>
      </c>
      <c r="J37" s="190"/>
      <c r="L37" s="287" t="str">
        <f>'08'!L37</f>
        <v>üK:</v>
      </c>
      <c r="M37" s="178">
        <f t="shared" si="3"/>
        <v>0</v>
      </c>
      <c r="N37" s="178">
        <f t="shared" si="3"/>
        <v>0</v>
      </c>
      <c r="O37" s="178" t="e">
        <f>NJ_CoursIE</f>
        <v>#N/A</v>
      </c>
      <c r="Q37" s="179" t="e">
        <f t="shared" si="4"/>
        <v>#N/A</v>
      </c>
    </row>
    <row r="38" spans="2:17" ht="15">
      <c r="B38" s="59"/>
      <c r="C38" s="180"/>
      <c r="D38" s="361"/>
      <c r="E38" s="350"/>
      <c r="F38" s="350"/>
      <c r="G38" s="351"/>
      <c r="H38" s="181">
        <f t="shared" si="0"/>
        <v>0</v>
      </c>
      <c r="I38" s="181">
        <f t="shared" si="1"/>
        <v>0</v>
      </c>
      <c r="J38" s="190"/>
      <c r="L38" s="287" t="str">
        <f>'08'!L38</f>
        <v>Militär:</v>
      </c>
      <c r="M38" s="178">
        <f t="shared" si="3"/>
        <v>0</v>
      </c>
      <c r="N38" s="178">
        <f t="shared" si="3"/>
        <v>0</v>
      </c>
      <c r="O38" s="178">
        <f>NJ_Bloc</f>
        <v>0</v>
      </c>
      <c r="Q38" s="179">
        <f t="shared" si="4"/>
        <v>0</v>
      </c>
    </row>
    <row r="39" spans="2:17" ht="15.75" thickBot="1">
      <c r="B39" s="57"/>
      <c r="C39" s="180"/>
      <c r="D39" s="360"/>
      <c r="E39" s="348"/>
      <c r="F39" s="348"/>
      <c r="G39" s="349"/>
      <c r="H39" s="181">
        <f t="shared" si="0"/>
        <v>0</v>
      </c>
      <c r="I39" s="181">
        <f t="shared" si="1"/>
        <v>0</v>
      </c>
      <c r="J39" s="191"/>
      <c r="L39" s="287" t="str">
        <f>'08'!L39</f>
        <v>Frei:</v>
      </c>
      <c r="M39" s="262">
        <f aca="true" t="shared" si="5" ref="M39:N42">H47</f>
        <v>0</v>
      </c>
      <c r="N39" s="262">
        <f t="shared" si="5"/>
        <v>0</v>
      </c>
      <c r="O39" s="262" t="e">
        <f>NJ_Conge</f>
        <v>#N/A</v>
      </c>
      <c r="Q39" s="263" t="e">
        <f t="shared" si="4"/>
        <v>#N/A</v>
      </c>
    </row>
    <row r="40" spans="2:17" ht="15.75" thickBot="1">
      <c r="B40" s="335" t="str">
        <f>'08'!B40</f>
        <v>Total</v>
      </c>
      <c r="C40" s="336">
        <f>COUNTIF(C9:C39,"a")+COUNTIF(C9:C39,"b")+COUNTIF(C9:C39,"c")+COUNTIF(C9:C39,"d")+COUNTIF(C9:C39,"e")+COUNTIF(C9:C39,"f")+COUNTIF(C9:C39,"g")+COUNTIF(C9:C39,"h")+COUNTIF(C9:C39,"i")</f>
        <v>0</v>
      </c>
      <c r="D40" s="17">
        <f aca="true" t="shared" si="6" ref="D40:I40">SUM(D9:D39)</f>
        <v>0</v>
      </c>
      <c r="E40" s="18">
        <f t="shared" si="6"/>
        <v>0</v>
      </c>
      <c r="F40" s="18">
        <f t="shared" si="6"/>
        <v>0</v>
      </c>
      <c r="G40" s="19">
        <f t="shared" si="6"/>
        <v>0</v>
      </c>
      <c r="H40" s="20">
        <f t="shared" si="6"/>
        <v>0</v>
      </c>
      <c r="I40" s="21">
        <f t="shared" si="6"/>
        <v>0</v>
      </c>
      <c r="J40" s="337" t="e">
        <f>INT(((Sa_NatureMensuel/H42*C40)*20)+0.5)/20</f>
        <v>#N/A</v>
      </c>
      <c r="L40" s="288" t="str">
        <f>'08'!L40</f>
        <v>Ferien:</v>
      </c>
      <c r="M40" s="289">
        <f t="shared" si="5"/>
        <v>0</v>
      </c>
      <c r="N40" s="289">
        <f t="shared" si="5"/>
        <v>0</v>
      </c>
      <c r="O40" s="289" t="e">
        <f>NJ_Vacances</f>
        <v>#N/A</v>
      </c>
      <c r="Q40" s="290" t="e">
        <f t="shared" si="4"/>
        <v>#N/A</v>
      </c>
    </row>
    <row r="41" spans="2:17" ht="15.75" thickBot="1">
      <c r="B41" s="452"/>
      <c r="C41" s="453"/>
      <c r="D41" s="453"/>
      <c r="E41" s="453"/>
      <c r="F41" s="453"/>
      <c r="G41" s="506"/>
      <c r="H41" s="286">
        <f>B3</f>
        <v>43862</v>
      </c>
      <c r="I41" s="22" t="str">
        <f>'08'!I41</f>
        <v>Total</v>
      </c>
      <c r="J41" s="23"/>
      <c r="L41" s="288" t="str">
        <f>'08'!L41</f>
        <v>Unfall:</v>
      </c>
      <c r="M41" s="289">
        <f t="shared" si="5"/>
        <v>0</v>
      </c>
      <c r="N41" s="289">
        <f t="shared" si="5"/>
        <v>0</v>
      </c>
      <c r="O41" s="289">
        <v>0</v>
      </c>
      <c r="Q41" s="290">
        <f t="shared" si="4"/>
        <v>0</v>
      </c>
    </row>
    <row r="42" spans="2:17" ht="15">
      <c r="B42" s="408" t="str">
        <f>'08'!B42</f>
        <v>Tagesabrechnung</v>
      </c>
      <c r="C42" s="409" t="e">
        <f>'08'!C42</f>
        <v>#N/A</v>
      </c>
      <c r="D42" s="409" t="e">
        <f>'08'!D42</f>
        <v>#REF!</v>
      </c>
      <c r="E42" s="409" t="e">
        <f>'08'!E42</f>
        <v>#REF!</v>
      </c>
      <c r="F42" s="409" t="e">
        <f>'08'!F42</f>
        <v>#REF!</v>
      </c>
      <c r="G42" s="410" t="e">
        <f>'08'!G42</f>
        <v>#REF!</v>
      </c>
      <c r="H42" s="24">
        <f>IF(MOD(YEAR(B3),4)=0,29,28)</f>
        <v>29</v>
      </c>
      <c r="I42" s="25">
        <f>SUM('01'!H42:I42)</f>
        <v>184</v>
      </c>
      <c r="J42" s="26"/>
      <c r="L42" s="287" t="str">
        <f>'08'!L42</f>
        <v>Krankheit:</v>
      </c>
      <c r="M42" s="178">
        <f t="shared" si="5"/>
        <v>0</v>
      </c>
      <c r="N42" s="178">
        <f t="shared" si="5"/>
        <v>0</v>
      </c>
      <c r="O42" s="178">
        <v>0</v>
      </c>
      <c r="Q42" s="179">
        <f t="shared" si="4"/>
        <v>0</v>
      </c>
    </row>
    <row r="43" spans="2:10" ht="15">
      <c r="B43" s="402" t="str">
        <f>'08'!B43</f>
        <v>Arbeitstage ( a )</v>
      </c>
      <c r="C43" s="403" t="e">
        <f>'08'!C43</f>
        <v>#N/A</v>
      </c>
      <c r="D43" s="403" t="e">
        <f>'08'!D43</f>
        <v>#REF!</v>
      </c>
      <c r="E43" s="403" t="e">
        <f>'08'!E43</f>
        <v>#REF!</v>
      </c>
      <c r="F43" s="403" t="e">
        <f>'08'!F43</f>
        <v>#REF!</v>
      </c>
      <c r="G43" s="404" t="e">
        <f>'08'!G43</f>
        <v>#REF!</v>
      </c>
      <c r="H43" s="27">
        <f>COUNTIF(C9:C39,"a")+COUNTIF(C9:C39,"f")/2</f>
        <v>0</v>
      </c>
      <c r="I43" s="28">
        <f>SUM('01'!H43:I43)</f>
        <v>0</v>
      </c>
      <c r="J43" s="29"/>
    </row>
    <row r="44" spans="2:17" ht="15">
      <c r="B44" s="402" t="str">
        <f>'08'!B44</f>
        <v>Schultage ( b )</v>
      </c>
      <c r="C44" s="403" t="e">
        <f>'08'!C44</f>
        <v>#N/A</v>
      </c>
      <c r="D44" s="403" t="e">
        <f>'08'!D44</f>
        <v>#REF!</v>
      </c>
      <c r="E44" s="403" t="e">
        <f>'08'!E44</f>
        <v>#REF!</v>
      </c>
      <c r="F44" s="403" t="e">
        <f>'08'!F44</f>
        <v>#REF!</v>
      </c>
      <c r="G44" s="404" t="e">
        <f>'08'!G44</f>
        <v>#REF!</v>
      </c>
      <c r="H44" s="27">
        <f>COUNTIF(C9:C39,"b")</f>
        <v>0</v>
      </c>
      <c r="I44" s="28">
        <f>SUM('01'!H44:I44)</f>
        <v>0</v>
      </c>
      <c r="J44" s="29"/>
      <c r="L44" s="38" t="str">
        <f>'08'!L44</f>
        <v>Bemerkungen:</v>
      </c>
      <c r="M44" s="513"/>
      <c r="N44" s="514"/>
      <c r="O44" s="514"/>
      <c r="P44" s="514"/>
      <c r="Q44" s="515"/>
    </row>
    <row r="45" spans="2:17" ht="15">
      <c r="B45" s="402" t="str">
        <f>'08'!B45</f>
        <v>überbetriebliche Kurse ( c )</v>
      </c>
      <c r="C45" s="403" t="e">
        <f>'08'!C45</f>
        <v>#N/A</v>
      </c>
      <c r="D45" s="403" t="e">
        <f>'08'!D45</f>
        <v>#REF!</v>
      </c>
      <c r="E45" s="403" t="e">
        <f>'08'!E45</f>
        <v>#REF!</v>
      </c>
      <c r="F45" s="403" t="e">
        <f>'08'!F45</f>
        <v>#REF!</v>
      </c>
      <c r="G45" s="404" t="e">
        <f>'08'!G45</f>
        <v>#REF!</v>
      </c>
      <c r="H45" s="27">
        <f>COUNTIF(C9:C39,"c")</f>
        <v>0</v>
      </c>
      <c r="I45" s="28">
        <f>SUM('01'!H45:I45)</f>
        <v>0</v>
      </c>
      <c r="J45" s="29"/>
      <c r="L45" s="34"/>
      <c r="M45" s="516"/>
      <c r="N45" s="517"/>
      <c r="O45" s="517"/>
      <c r="P45" s="517"/>
      <c r="Q45" s="518"/>
    </row>
    <row r="46" spans="2:17" ht="15">
      <c r="B46" s="402" t="str">
        <f>'08'!B46</f>
        <v>Militär ( i )</v>
      </c>
      <c r="C46" s="403" t="e">
        <f>'08'!C46</f>
        <v>#N/A</v>
      </c>
      <c r="D46" s="403" t="e">
        <f>'08'!D46</f>
        <v>#REF!</v>
      </c>
      <c r="E46" s="403" t="e">
        <f>'08'!E46</f>
        <v>#REF!</v>
      </c>
      <c r="F46" s="403" t="e">
        <f>'08'!F46</f>
        <v>#REF!</v>
      </c>
      <c r="G46" s="404" t="e">
        <f>'08'!G46</f>
        <v>#REF!</v>
      </c>
      <c r="H46" s="27">
        <f>COUNTIF(C9:C39,"i")</f>
        <v>0</v>
      </c>
      <c r="I46" s="28">
        <f>SUM('01'!H46:I46)</f>
        <v>0</v>
      </c>
      <c r="J46" s="29"/>
      <c r="L46" s="34"/>
      <c r="M46" s="519"/>
      <c r="N46" s="520"/>
      <c r="O46" s="520"/>
      <c r="P46" s="520"/>
      <c r="Q46" s="521"/>
    </row>
    <row r="47" spans="2:17" ht="15">
      <c r="B47" s="402" t="str">
        <f>'08'!B47</f>
        <v>Frei ( d )</v>
      </c>
      <c r="C47" s="403" t="e">
        <f>'08'!C47</f>
        <v>#N/A</v>
      </c>
      <c r="D47" s="403" t="e">
        <f>'08'!D47</f>
        <v>#REF!</v>
      </c>
      <c r="E47" s="403" t="e">
        <f>'08'!E47</f>
        <v>#REF!</v>
      </c>
      <c r="F47" s="403" t="e">
        <f>'08'!F47</f>
        <v>#REF!</v>
      </c>
      <c r="G47" s="404" t="e">
        <f>'08'!G47</f>
        <v>#REF!</v>
      </c>
      <c r="H47" s="27">
        <f>COUNTIF(C9:C39,"d")+COUNTIF(C9:C39,"f")/2</f>
        <v>0</v>
      </c>
      <c r="I47" s="28">
        <f>SUM('01'!H47:I47)</f>
        <v>0</v>
      </c>
      <c r="J47" s="29"/>
      <c r="L47" s="34"/>
      <c r="M47" s="34"/>
      <c r="N47" s="34"/>
      <c r="O47" s="38"/>
      <c r="P47" s="34"/>
      <c r="Q47" s="40"/>
    </row>
    <row r="48" spans="1:17" ht="15">
      <c r="A48" s="7">
        <v>289</v>
      </c>
      <c r="B48" s="402" t="str">
        <f>'08'!B48</f>
        <v>Ferien ( e )</v>
      </c>
      <c r="C48" s="403" t="e">
        <f>'08'!C48</f>
        <v>#N/A</v>
      </c>
      <c r="D48" s="403" t="e">
        <f>'08'!D48</f>
        <v>#REF!</v>
      </c>
      <c r="E48" s="403" t="e">
        <f>'08'!E48</f>
        <v>#REF!</v>
      </c>
      <c r="F48" s="403" t="e">
        <f>'08'!F48</f>
        <v>#REF!</v>
      </c>
      <c r="G48" s="404" t="e">
        <f>'08'!G48</f>
        <v>#REF!</v>
      </c>
      <c r="H48" s="27">
        <f>COUNTIF(C9:C39,"e")</f>
        <v>0</v>
      </c>
      <c r="I48" s="28">
        <f>SUM('01'!H48:I48)</f>
        <v>0</v>
      </c>
      <c r="J48" s="29"/>
      <c r="L48" s="38" t="str">
        <f>'08'!L48</f>
        <v>Datum</v>
      </c>
      <c r="M48" s="177"/>
      <c r="N48" s="34"/>
      <c r="O48" s="38" t="str">
        <f>'08'!O48</f>
        <v>Berufsbildner /in</v>
      </c>
      <c r="P48" s="54"/>
      <c r="Q48" s="55"/>
    </row>
    <row r="49" spans="1:17" ht="15">
      <c r="A49" s="7">
        <v>290</v>
      </c>
      <c r="B49" s="402" t="str">
        <f>'08'!B49</f>
        <v>Unfall ( g )</v>
      </c>
      <c r="C49" s="403" t="e">
        <f>'08'!C49</f>
        <v>#N/A</v>
      </c>
      <c r="D49" s="403" t="e">
        <f>'08'!D49</f>
        <v>#REF!</v>
      </c>
      <c r="E49" s="403" t="e">
        <f>'08'!E49</f>
        <v>#REF!</v>
      </c>
      <c r="F49" s="403" t="e">
        <f>'08'!F49</f>
        <v>#REF!</v>
      </c>
      <c r="G49" s="404" t="e">
        <f>'08'!G49</f>
        <v>#REF!</v>
      </c>
      <c r="H49" s="27">
        <f>COUNTIF(C9:C39,"g")</f>
        <v>0</v>
      </c>
      <c r="I49" s="28">
        <f>SUM('01'!H49:I49)</f>
        <v>0</v>
      </c>
      <c r="J49" s="29"/>
      <c r="L49" s="34"/>
      <c r="M49" s="34"/>
      <c r="N49" s="34"/>
      <c r="O49" s="38"/>
      <c r="P49" s="34"/>
      <c r="Q49" s="40"/>
    </row>
    <row r="50" spans="1:17" s="7" customFormat="1" ht="15.75" thickBot="1">
      <c r="A50" s="285">
        <v>291</v>
      </c>
      <c r="B50" s="383" t="str">
        <f>'08'!B50</f>
        <v>Krankheit ( h )</v>
      </c>
      <c r="C50" s="384" t="e">
        <f>'08'!C50</f>
        <v>#N/A</v>
      </c>
      <c r="D50" s="384" t="e">
        <f>'08'!D50</f>
        <v>#REF!</v>
      </c>
      <c r="E50" s="384" t="e">
        <f>'08'!E50</f>
        <v>#REF!</v>
      </c>
      <c r="F50" s="384" t="e">
        <f>'08'!F50</f>
        <v>#REF!</v>
      </c>
      <c r="G50" s="385" t="e">
        <f>'08'!G50</f>
        <v>#REF!</v>
      </c>
      <c r="H50" s="30">
        <f>COUNTIF(C9:C39,"h")</f>
        <v>0</v>
      </c>
      <c r="I50" s="31">
        <f>SUM('01'!H50:I50)</f>
        <v>0</v>
      </c>
      <c r="J50" s="32"/>
      <c r="L50" s="34"/>
      <c r="M50" s="35"/>
      <c r="N50" s="34"/>
      <c r="O50" s="38" t="str">
        <f>'08'!O50</f>
        <v>Lernende /r</v>
      </c>
      <c r="P50" s="54"/>
      <c r="Q50" s="55"/>
    </row>
    <row r="51" spans="12:17" ht="14.25">
      <c r="L51" s="34"/>
      <c r="M51" s="35"/>
      <c r="N51" s="34"/>
      <c r="O51" s="38"/>
      <c r="P51" s="54"/>
      <c r="Q51" s="55"/>
    </row>
  </sheetData>
  <sheetProtection password="83EF" sheet="1" objects="1" scenarios="1"/>
  <mergeCells count="37">
    <mergeCell ref="C2:J2"/>
    <mergeCell ref="B1:J1"/>
    <mergeCell ref="L1:Q1"/>
    <mergeCell ref="M3:N3"/>
    <mergeCell ref="O3:P3"/>
    <mergeCell ref="B3:B8"/>
    <mergeCell ref="C3:C8"/>
    <mergeCell ref="D3:D8"/>
    <mergeCell ref="E3:E8"/>
    <mergeCell ref="G3:G8"/>
    <mergeCell ref="H3:H8"/>
    <mergeCell ref="I3:I8"/>
    <mergeCell ref="F3:F8"/>
    <mergeCell ref="J3:J8"/>
    <mergeCell ref="M5:Q5"/>
    <mergeCell ref="M6:Q6"/>
    <mergeCell ref="M20:N20"/>
    <mergeCell ref="M27:N27"/>
    <mergeCell ref="M28:N28"/>
    <mergeCell ref="M7:Q7"/>
    <mergeCell ref="M8:N8"/>
    <mergeCell ref="M44:Q46"/>
    <mergeCell ref="Q33:Q34"/>
    <mergeCell ref="B46:G46"/>
    <mergeCell ref="B50:G50"/>
    <mergeCell ref="B43:G43"/>
    <mergeCell ref="B47:G47"/>
    <mergeCell ref="B44:G44"/>
    <mergeCell ref="B45:G45"/>
    <mergeCell ref="B48:G48"/>
    <mergeCell ref="B49:G49"/>
    <mergeCell ref="B41:G41"/>
    <mergeCell ref="B42:G42"/>
    <mergeCell ref="N33:N34"/>
    <mergeCell ref="M33:M34"/>
    <mergeCell ref="P33:P34"/>
    <mergeCell ref="O33:O34"/>
  </mergeCells>
  <conditionalFormatting sqref="C38:G39">
    <cfRule type="cellIs" priority="16" dxfId="8" operator="lessThan" stopIfTrue="1">
      <formula>0</formula>
    </cfRule>
    <cfRule type="cellIs" priority="17" dxfId="9" operator="greaterThan" stopIfTrue="1">
      <formula>0</formula>
    </cfRule>
    <cfRule type="expression" priority="18" dxfId="7" stopIfTrue="1">
      <formula>B38&lt;&gt;""</formula>
    </cfRule>
  </conditionalFormatting>
  <conditionalFormatting sqref="E9:E37">
    <cfRule type="cellIs" priority="34" dxfId="9" operator="lessThan" stopIfTrue="1">
      <formula>0</formula>
    </cfRule>
    <cfRule type="cellIs" priority="35" dxfId="8" operator="greaterThan" stopIfTrue="1">
      <formula>0</formula>
    </cfRule>
    <cfRule type="expression" priority="36" dxfId="7" stopIfTrue="1">
      <formula>OR(C9="a",C9="b",C9="c")</formula>
    </cfRule>
  </conditionalFormatting>
  <conditionalFormatting sqref="F9:F37">
    <cfRule type="cellIs" priority="37" dxfId="9" operator="lessThan" stopIfTrue="1">
      <formula>0</formula>
    </cfRule>
    <cfRule type="cellIs" priority="38" dxfId="8" operator="greaterThan" stopIfTrue="1">
      <formula>0</formula>
    </cfRule>
    <cfRule type="expression" priority="39" dxfId="7" stopIfTrue="1">
      <formula>OR(C9="a")</formula>
    </cfRule>
  </conditionalFormatting>
  <conditionalFormatting sqref="G9:G37">
    <cfRule type="cellIs" priority="40" dxfId="9" operator="lessThan" stopIfTrue="1">
      <formula>0</formula>
    </cfRule>
    <cfRule type="cellIs" priority="41" dxfId="8" operator="greaterThan" stopIfTrue="1">
      <formula>0</formula>
    </cfRule>
    <cfRule type="expression" priority="42" dxfId="7" stopIfTrue="1">
      <formula>OR(C9="a",C9="b",C9="c")</formula>
    </cfRule>
  </conditionalFormatting>
  <conditionalFormatting sqref="B9:B36 B38:B39">
    <cfRule type="expression" priority="25" dxfId="0" stopIfTrue="1">
      <formula>WEEKDAY(B9)=1</formula>
    </cfRule>
  </conditionalFormatting>
  <conditionalFormatting sqref="C9:C36">
    <cfRule type="expression" priority="46" dxfId="2" stopIfTrue="1">
      <formula>AND(C9&lt;&gt;"",C9&lt;&gt;"a",C9&lt;&gt;"b",C9&lt;&gt;"c",C9&lt;&gt;"d",C9&lt;&gt;"e",C9&lt;&gt;"f",C9&lt;&gt;"g",C9&lt;&gt;"h",C9&lt;&gt;"i")</formula>
    </cfRule>
  </conditionalFormatting>
  <conditionalFormatting sqref="D9:D37">
    <cfRule type="cellIs" priority="47" dxfId="9" operator="lessThan" stopIfTrue="1">
      <formula>0</formula>
    </cfRule>
    <cfRule type="cellIs" priority="48" dxfId="8" operator="greaterThan" stopIfTrue="1">
      <formula>0</formula>
    </cfRule>
    <cfRule type="expression" priority="49" dxfId="7" stopIfTrue="1">
      <formula>AND(C9&lt;&gt;"",C9&lt;&gt;"i")</formula>
    </cfRule>
  </conditionalFormatting>
  <conditionalFormatting sqref="B37">
    <cfRule type="expression" priority="70" dxfId="0" stopIfTrue="1">
      <formula>AND(WEEKDAY(B37)=1,MONTH(B37)=2)</formula>
    </cfRule>
    <cfRule type="expression" priority="71" dxfId="232" stopIfTrue="1">
      <formula>MONTH(B37)=3</formula>
    </cfRule>
  </conditionalFormatting>
  <conditionalFormatting sqref="C37">
    <cfRule type="expression" priority="72" dxfId="2" stopIfTrue="1">
      <formula>OR(AND(MONTH(B37)=3,C37&lt;&gt;""),AND(C37&lt;&gt;"",C37&lt;&gt;"a",C37&lt;&gt;"b",C37&lt;&gt;"c",C37&lt;&gt;"d",C37&lt;&gt;"e",C37&lt;&gt;"f",C37&lt;&gt;"g",C37&lt;&gt;"h",C37&lt;&gt;"i"))</formula>
    </cfRule>
    <cfRule type="expression" priority="73" dxfId="232" stopIfTrue="1">
      <formula>MONTH(B37)=3</formula>
    </cfRule>
  </conditionalFormatting>
  <conditionalFormatting sqref="D9:D37">
    <cfRule type="cellIs" priority="13" dxfId="9" operator="lessThan" stopIfTrue="1">
      <formula>0</formula>
    </cfRule>
    <cfRule type="cellIs" priority="14" dxfId="8" operator="greaterThan" stopIfTrue="1">
      <formula>0</formula>
    </cfRule>
    <cfRule type="expression" priority="15" dxfId="7" stopIfTrue="1">
      <formula>AND(C9&lt;&gt;"",OR(PN_LogisOuiNon=1,AND(PN_LogisOuiNon=2,C9&lt;&gt;"i")))</formula>
    </cfRule>
  </conditionalFormatting>
  <conditionalFormatting sqref="D9:D37">
    <cfRule type="cellIs" priority="10" dxfId="9" operator="lessThan" stopIfTrue="1">
      <formula>0</formula>
    </cfRule>
    <cfRule type="cellIs" priority="11" dxfId="8" operator="greaterThan" stopIfTrue="1">
      <formula>0</formula>
    </cfRule>
    <cfRule type="expression" priority="12" dxfId="7" stopIfTrue="1">
      <formula>AND(C9&lt;&gt;"",C9&lt;&gt;"i")</formula>
    </cfRule>
  </conditionalFormatting>
  <conditionalFormatting sqref="D9:D37">
    <cfRule type="cellIs" priority="7" dxfId="9" operator="lessThan" stopIfTrue="1">
      <formula>0</formula>
    </cfRule>
    <cfRule type="cellIs" priority="8" dxfId="8" operator="greaterThan" stopIfTrue="1">
      <formula>0</formula>
    </cfRule>
    <cfRule type="expression" priority="9" dxfId="7" stopIfTrue="1">
      <formula>AND(C9&lt;&gt;"",OR(PN_LogisOuiNon=1,AND(PN_LogisOuiNon=2,C9&lt;&gt;"i")))</formula>
    </cfRule>
  </conditionalFormatting>
  <conditionalFormatting sqref="D9:D37">
    <cfRule type="cellIs" priority="4" dxfId="9" operator="lessThan" stopIfTrue="1">
      <formula>0</formula>
    </cfRule>
    <cfRule type="cellIs" priority="5" dxfId="8" operator="greaterThan" stopIfTrue="1">
      <formula>0</formula>
    </cfRule>
    <cfRule type="expression" priority="6" dxfId="7" stopIfTrue="1">
      <formula>AND(C9&lt;&gt;"",OR(PN_LogisOuiNon=1,AND(PN_LogisOuiNon=2,C9&lt;&gt;"j")))</formula>
    </cfRule>
  </conditionalFormatting>
  <conditionalFormatting sqref="H9:H37">
    <cfRule type="expression" priority="1" dxfId="6" stopIfTrue="1">
      <formula>C9="a"</formula>
    </cfRule>
    <cfRule type="expression" priority="2" dxfId="5" stopIfTrue="1">
      <formula>OR(C9="b",C9="c")</formula>
    </cfRule>
    <cfRule type="expression" priority="3" dxfId="0" stopIfTrue="1">
      <formula>OR(C9="d",C9="e")</formula>
    </cfRule>
  </conditionalFormatting>
  <hyperlinks>
    <hyperlink ref="C3:C8" location="Help_Code" display="Help_Code"/>
  </hyperlinks>
  <printOptions horizontalCentered="1" verticalCentered="1"/>
  <pageMargins left="0.3937007874015748" right="0.3937007874015748" top="0.5905511811023623" bottom="0.3937007874015748" header="0.5118110236220472" footer="0.31496062992125984"/>
  <pageSetup horizontalDpi="600" verticalDpi="600" orientation="portrait" paperSize="9" r:id="rId1"/>
  <headerFooter alignWithMargins="0">
    <oddFooter>&amp;L&amp;A&amp;RPage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Horner Alexandre</dc:creator>
  <cp:keywords/>
  <dc:description/>
  <cp:lastModifiedBy>Mejia-Hauser Pia</cp:lastModifiedBy>
  <cp:lastPrinted>2010-12-14T20:20:20Z</cp:lastPrinted>
  <dcterms:created xsi:type="dcterms:W3CDTF">2009-06-05T12:05:13Z</dcterms:created>
  <dcterms:modified xsi:type="dcterms:W3CDTF">2019-06-27T12:22:10Z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